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10365" tabRatio="627" firstSheet="18" activeTab="22"/>
  </bookViews>
  <sheets>
    <sheet name="buna seara" sheetId="1" r:id="rId1"/>
    <sheet name="focus" sheetId="2" r:id="rId2"/>
    <sheet name="un sfert de vorbă" sheetId="3" r:id="rId3"/>
    <sheet name="dor" sheetId="4" r:id="rId4"/>
    <sheet name="cultura azi Popodneac" sheetId="5" r:id="rId5"/>
    <sheet name="cultura Canţer" sheetId="6" r:id="rId6"/>
    <sheet name="cum e corect" sheetId="7" r:id="rId7"/>
    <sheet name="aniversări" sheetId="8" r:id="rId8"/>
    <sheet name="artelier" sheetId="9" r:id="rId9"/>
    <sheet name="prin muzică în Europa" sheetId="10" r:id="rId10"/>
    <sheet name="o seară în familie" sheetId="11" r:id="rId11"/>
    <sheet name="Portrete în timp Galaico" sheetId="12" r:id="rId12"/>
    <sheet name="Destine de colecţie" sheetId="13" r:id="rId13"/>
    <sheet name="portrete în timp Scorpan" sheetId="14" r:id="rId14"/>
    <sheet name="Stil nou" sheetId="15" r:id="rId15"/>
    <sheet name="Tezaur" sheetId="16" r:id="rId16"/>
    <sheet name="evantai folcloric" sheetId="17" r:id="rId17"/>
    <sheet name="La noi în sat" sheetId="18" r:id="rId18"/>
    <sheet name="Eurovision 2015" sheetId="19" r:id="rId19"/>
    <sheet name="Ziua Independenţei" sheetId="20" r:id="rId20"/>
    <sheet name="Ziua Limbii Române" sheetId="21" r:id="rId21"/>
    <sheet name="Legendele Muzicii" sheetId="22" r:id="rId22"/>
    <sheet name="Cinemateca universală" sheetId="23" r:id="rId23"/>
  </sheets>
  <definedNames/>
  <calcPr fullCalcOnLoad="1"/>
</workbook>
</file>

<file path=xl/sharedStrings.xml><?xml version="1.0" encoding="utf-8"?>
<sst xmlns="http://schemas.openxmlformats.org/spreadsheetml/2006/main" count="10159" uniqueCount="627">
  <si>
    <t xml:space="preserve">Coordonat                                                </t>
  </si>
  <si>
    <t>Aprobat</t>
  </si>
  <si>
    <t xml:space="preserve">Director TV Moldova 1                            </t>
  </si>
  <si>
    <t>Preşedinte al IPNA</t>
  </si>
  <si>
    <t>„Compania „Teleradio-Moldova”</t>
  </si>
  <si>
    <t>Costurile de producere a emisiunilor radio/TV</t>
  </si>
  <si>
    <t>(per ediţie)</t>
  </si>
  <si>
    <t xml:space="preserve">Fişa-tip </t>
  </si>
  <si>
    <t>I. INFORMAŢII GENERALE</t>
  </si>
  <si>
    <t>1.</t>
  </si>
  <si>
    <t>Titlul emisiunii*</t>
  </si>
  <si>
    <t>Bună seara</t>
  </si>
  <si>
    <t>Subdiviziunea*</t>
  </si>
  <si>
    <t>Productie TV</t>
  </si>
  <si>
    <t>3.</t>
  </si>
  <si>
    <t>Periodicitatea*</t>
  </si>
  <si>
    <t>saptamanală</t>
  </si>
  <si>
    <t>Durata emisiunii*</t>
  </si>
  <si>
    <t>60 min</t>
  </si>
  <si>
    <t>5.</t>
  </si>
  <si>
    <t>Număr emisiuni*</t>
  </si>
  <si>
    <t>Volum emisie an*</t>
  </si>
  <si>
    <t>7.</t>
  </si>
  <si>
    <t>Genul emisiunii*</t>
  </si>
  <si>
    <t>Talk-show</t>
  </si>
  <si>
    <t>Complexitate*</t>
  </si>
  <si>
    <t>9.</t>
  </si>
  <si>
    <t>Tipul emisiei*</t>
  </si>
  <si>
    <t>direct</t>
  </si>
  <si>
    <t>înregistrare</t>
  </si>
  <si>
    <t>transmisiune</t>
  </si>
  <si>
    <t>10.</t>
  </si>
  <si>
    <t>Concept*</t>
  </si>
  <si>
    <t xml:space="preserve">Talk-show socio-politic in direct cu participarea publicului. Se discuta cele mai </t>
  </si>
  <si>
    <t>actuale teme ale saptamanii/zilei.</t>
  </si>
  <si>
    <t>II. COSTURI DIRECTE</t>
  </si>
  <si>
    <t>2.1 Costuri etapa pregătitoare</t>
  </si>
  <si>
    <t>Nr.</t>
  </si>
  <si>
    <t xml:space="preserve">Indicator </t>
  </si>
  <si>
    <t>Unitate măsură</t>
  </si>
  <si>
    <t>Cost unitar*</t>
  </si>
  <si>
    <t>Cost total*</t>
  </si>
  <si>
    <t>Elaborare şi aprobare concept* Surdu M, Melnic L</t>
  </si>
  <si>
    <t>ore/om</t>
  </si>
  <si>
    <t>4/2</t>
  </si>
  <si>
    <t>2.</t>
  </si>
  <si>
    <t>Cercetare şi documentare* Surdu M, Melnic L</t>
  </si>
  <si>
    <t>8/2</t>
  </si>
  <si>
    <t>Planificare, coordonare* Surdu M, Melnic L</t>
  </si>
  <si>
    <t>4.</t>
  </si>
  <si>
    <t>Elaborare desfăşurător emisiune*</t>
  </si>
  <si>
    <t>Decor*</t>
  </si>
  <si>
    <t xml:space="preserve"> - concept</t>
  </si>
  <si>
    <t xml:space="preserve"> - </t>
  </si>
  <si>
    <t>6.</t>
  </si>
  <si>
    <t>Total etapa pregătitoare:</t>
  </si>
  <si>
    <t>2.2 Costuri echipa de producere</t>
  </si>
  <si>
    <t xml:space="preserve">Indicator* </t>
  </si>
  <si>
    <t>Cost unitar**</t>
  </si>
  <si>
    <t>Cost total**</t>
  </si>
  <si>
    <t>Funcţie*</t>
  </si>
  <si>
    <t>Nume, prenume*</t>
  </si>
  <si>
    <t xml:space="preserve">Editor </t>
  </si>
  <si>
    <t>Producător</t>
  </si>
  <si>
    <t>Leonid Melnic</t>
  </si>
  <si>
    <t xml:space="preserve">Prezentator </t>
  </si>
  <si>
    <t>Mircea Surdu</t>
  </si>
  <si>
    <t>Cameraman</t>
  </si>
  <si>
    <t xml:space="preserve">Nicolae Usenco + 4 </t>
  </si>
  <si>
    <t>5/5</t>
  </si>
  <si>
    <t>Regizor</t>
  </si>
  <si>
    <t>Diana Donică</t>
  </si>
  <si>
    <t>8.</t>
  </si>
  <si>
    <t>Regizor sunet</t>
  </si>
  <si>
    <t>Lilian Taranu+1</t>
  </si>
  <si>
    <t>Asistent regizor</t>
  </si>
  <si>
    <t>Zinaida Nacu</t>
  </si>
  <si>
    <t>Redactor</t>
  </si>
  <si>
    <t>Eugen Popovici</t>
  </si>
  <si>
    <t>11.</t>
  </si>
  <si>
    <t>Administrator</t>
  </si>
  <si>
    <t>Anastasia Vizir</t>
  </si>
  <si>
    <t>Total echipă</t>
  </si>
  <si>
    <t>2.3 Contribuţii sociale şi prime de asigurări medicale</t>
  </si>
  <si>
    <t>Contribuţii sociale, 23%**</t>
  </si>
  <si>
    <t>lei</t>
  </si>
  <si>
    <t>Prime de asigurări medicale, 3,5%**</t>
  </si>
  <si>
    <t xml:space="preserve">2.4 Costuri de producere </t>
  </si>
  <si>
    <t>2.4.1 Studiouri</t>
  </si>
  <si>
    <t>Tip (număr) studio*: ___________________N2</t>
  </si>
  <si>
    <t>Etapă pregătire studiouri*</t>
  </si>
  <si>
    <t>ore</t>
  </si>
  <si>
    <t>Studio emisiuni în direct*</t>
  </si>
  <si>
    <t>Studio emisiuni în înregistrare*</t>
  </si>
  <si>
    <t>Camere (model)</t>
  </si>
  <si>
    <t>număr camere*</t>
  </si>
  <si>
    <t>un.</t>
  </si>
  <si>
    <t>numărul orelor de folosire*</t>
  </si>
  <si>
    <t>uzura camerelor**</t>
  </si>
  <si>
    <t>Lumini</t>
  </si>
  <si>
    <t>consum de energie electrică per program***</t>
  </si>
  <si>
    <t>kwt</t>
  </si>
  <si>
    <t>uzura aparatelor de iluminat**</t>
  </si>
  <si>
    <t>2.4.2 Sala de montaj</t>
  </si>
  <si>
    <t>consum de energie electrică***</t>
  </si>
  <si>
    <t>uzura utilajului din sala de montaj**</t>
  </si>
  <si>
    <t>2.4.3 Sala de vizionare</t>
  </si>
  <si>
    <t>uzura utilajului din sala de vizionare**</t>
  </si>
  <si>
    <t>Total costuri de producere</t>
  </si>
  <si>
    <t>Total producere decor</t>
  </si>
  <si>
    <t>2.5 Costuri echipament suplimentar</t>
  </si>
  <si>
    <t>Car mobil pentru înregistrări*</t>
  </si>
  <si>
    <t xml:space="preserve">Transmisiune internet modem* </t>
  </si>
  <si>
    <t>Transmisiune fire telefonice*</t>
  </si>
  <si>
    <t>uzura camerei-**</t>
  </si>
  <si>
    <t>Microfoane</t>
  </si>
  <si>
    <t>număr microfoane*</t>
  </si>
  <si>
    <t>un</t>
  </si>
  <si>
    <t>uzura microfoanelor**</t>
  </si>
  <si>
    <t>Dictofoane</t>
  </si>
  <si>
    <t>număr dictofoane*</t>
  </si>
  <si>
    <t>uzura dictofoanelor**</t>
  </si>
  <si>
    <t>Alte resurse tehnice*</t>
  </si>
  <si>
    <t>Total costuri echipament suplimentar</t>
  </si>
  <si>
    <t>2.6 Costuri  transport</t>
  </si>
  <si>
    <t>Numărul unităţi de transport*</t>
  </si>
  <si>
    <t xml:space="preserve">Numărul de kilometri parcurşi* </t>
  </si>
  <si>
    <t>km</t>
  </si>
  <si>
    <t>Numărul de ore de utilizare*</t>
  </si>
  <si>
    <t>maşini   /ore</t>
  </si>
  <si>
    <t>Cantitatea de combustibil consumată*</t>
  </si>
  <si>
    <t>litri</t>
  </si>
  <si>
    <t>benzină</t>
  </si>
  <si>
    <t>motorină</t>
  </si>
  <si>
    <t>gaz</t>
  </si>
  <si>
    <t>Total costuri transport</t>
  </si>
  <si>
    <t>2.7 Costuri deplasări</t>
  </si>
  <si>
    <t>Număr persoane*</t>
  </si>
  <si>
    <t>zile/om</t>
  </si>
  <si>
    <t>Destinaţie internă*</t>
  </si>
  <si>
    <t>Destinaţie externă*</t>
  </si>
  <si>
    <t>Cazare**</t>
  </si>
  <si>
    <t>Diurna**</t>
  </si>
  <si>
    <t>Cheltuieli de transport (avion, tren)*</t>
  </si>
  <si>
    <t>Viză*</t>
  </si>
  <si>
    <t>Asigurarea medicală*</t>
  </si>
  <si>
    <t>Cartea verde*</t>
  </si>
  <si>
    <t>Total costuri deplasări</t>
  </si>
  <si>
    <t>2.8 Costuri materiale/consumabile</t>
  </si>
  <si>
    <t>Recuzită, flori, etc*</t>
  </si>
  <si>
    <t>Consumabile*</t>
  </si>
  <si>
    <t>Casete (crono)*</t>
  </si>
  <si>
    <t>DVD*</t>
  </si>
  <si>
    <t>Vestimentaţie*</t>
  </si>
  <si>
    <t>Machiaj*</t>
  </si>
  <si>
    <t xml:space="preserve">Cosmetică* </t>
  </si>
  <si>
    <t>Coafare*</t>
  </si>
  <si>
    <t>Alte costuri de materiale**</t>
  </si>
  <si>
    <t>Total costuri materiale/consumabile</t>
  </si>
  <si>
    <t>2.9 Costuri decor</t>
  </si>
  <si>
    <t>Valoarea uzurii decorului per emisiune**</t>
  </si>
  <si>
    <t>Total costuri decor</t>
  </si>
  <si>
    <t>2.10 Costuri aferente</t>
  </si>
  <si>
    <t>Drepturi de autor*:</t>
  </si>
  <si>
    <t xml:space="preserve"> - filme</t>
  </si>
  <si>
    <t>ore, min</t>
  </si>
  <si>
    <t>1 min</t>
  </si>
  <si>
    <t xml:space="preserve"> - spectacole</t>
  </si>
  <si>
    <t xml:space="preserve"> - muzică</t>
  </si>
  <si>
    <t>3 min</t>
  </si>
  <si>
    <t>Drepturi de autor pentru difuzarea filmelor, spectacolelor*</t>
  </si>
  <si>
    <t>Drepturi translare fotbal,jocuri olimpice**</t>
  </si>
  <si>
    <t>Utilizare arhivă*</t>
  </si>
  <si>
    <t>23700 sal sec patrimoniu</t>
  </si>
  <si>
    <t>Arhivare material şi documentare internă (fond)*</t>
  </si>
  <si>
    <t>Promo emisiuni*</t>
  </si>
  <si>
    <t>Promovare externă*</t>
  </si>
  <si>
    <t>Total costuri aferente</t>
  </si>
  <si>
    <t xml:space="preserve">2.11 Necesităţi producere </t>
  </si>
  <si>
    <t>Calculator*</t>
  </si>
  <si>
    <t>bucată</t>
  </si>
  <si>
    <t>Softuri *</t>
  </si>
  <si>
    <t>Mermory stick*</t>
  </si>
  <si>
    <t>Total necesităţi producere</t>
  </si>
  <si>
    <t>III. COSTURI INDIRECTE</t>
  </si>
  <si>
    <t>Centrala de emisie**</t>
  </si>
  <si>
    <t>Emiţătoare, circuite, relee**</t>
  </si>
  <si>
    <t>Servicii informaţionale**</t>
  </si>
  <si>
    <t>Servicii satelit**</t>
  </si>
  <si>
    <t>Servicii de telefonie**</t>
  </si>
  <si>
    <t>Energia electrică **</t>
  </si>
  <si>
    <t>Energia termică **</t>
  </si>
  <si>
    <t>gkal</t>
  </si>
  <si>
    <t>Apă şi canalizare**</t>
  </si>
  <si>
    <t>Alte costuri indirecte (anexa 1)**</t>
  </si>
  <si>
    <t>Costuri indirecte privind serviciile auxiliare** (anexa 2)</t>
  </si>
  <si>
    <t>Cheltuielile perioadei de gestiune** (anexa 3)**</t>
  </si>
  <si>
    <t>IV. COSTURI TOTALE</t>
  </si>
  <si>
    <t xml:space="preserve">Unitate </t>
  </si>
  <si>
    <t>măsură</t>
  </si>
  <si>
    <t>Costuri directe**</t>
  </si>
  <si>
    <t>Costuri indirecte**</t>
  </si>
  <si>
    <t>Costuri totale**</t>
  </si>
  <si>
    <t>Contribuţii externe (nr. contract de coproductie, sponsoring etc.)**</t>
  </si>
  <si>
    <t>Contributii TRM**</t>
  </si>
  <si>
    <t>L.Melnic</t>
  </si>
  <si>
    <t>Serviciul planificare şi control</t>
  </si>
  <si>
    <r>
      <t>Număr /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volum*</t>
    </r>
  </si>
  <si>
    <r>
      <t xml:space="preserve">2.4.4 </t>
    </r>
    <r>
      <rPr>
        <sz val="14"/>
        <rFont val="Garamond"/>
        <family val="1"/>
      </rPr>
      <t>Producere decor*</t>
    </r>
  </si>
  <si>
    <r>
      <t>Alte costuri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**</t>
    </r>
  </si>
  <si>
    <r>
      <t>Număr /</t>
    </r>
    <r>
      <rPr>
        <sz val="11"/>
        <rFont val="Tahoma"/>
        <family val="2"/>
      </rPr>
      <t xml:space="preserve"> </t>
    </r>
    <r>
      <rPr>
        <b/>
        <sz val="11"/>
        <rFont val="Tahoma"/>
        <family val="2"/>
      </rPr>
      <t>volum**</t>
    </r>
  </si>
  <si>
    <t>81770/21 după state=3894</t>
  </si>
  <si>
    <t>Casete (crono)* 4 casete anual</t>
  </si>
  <si>
    <t>Producţie TV</t>
  </si>
  <si>
    <t>bilunară</t>
  </si>
  <si>
    <t>direct         +</t>
  </si>
  <si>
    <t xml:space="preserve">Elaborare desfăşurător emisiune* </t>
  </si>
  <si>
    <t>Focus</t>
  </si>
  <si>
    <t>30 min</t>
  </si>
  <si>
    <t>8 ore</t>
  </si>
  <si>
    <t>Magazin</t>
  </si>
  <si>
    <t xml:space="preserve">Magazin televizta despre curiozitati, monumente istorice, </t>
  </si>
  <si>
    <t>oameni cu ocupatii neobisnuite, etc</t>
  </si>
  <si>
    <t>Elaborare şi aprobare concept* Melnic L, Popovici E</t>
  </si>
  <si>
    <t>Cercetare şi documentare* Melnic L, Popovici E</t>
  </si>
  <si>
    <t>16/2</t>
  </si>
  <si>
    <t>Planificare, coordonare* Melnic L, Popovici E</t>
  </si>
  <si>
    <t>Elaborare desfăşurător emisiune* Melnic L</t>
  </si>
  <si>
    <t>1</t>
  </si>
  <si>
    <t xml:space="preserve">Reporter </t>
  </si>
  <si>
    <t>Nicolae Usenco, Rodion Șculipa</t>
  </si>
  <si>
    <t>Casete (crono)* 6  casete anual</t>
  </si>
  <si>
    <t>10 min</t>
  </si>
  <si>
    <t>Un sfert de vorbă</t>
  </si>
  <si>
    <t>săptămânală</t>
  </si>
  <si>
    <t>20 min</t>
  </si>
  <si>
    <t>interviu-portret</t>
  </si>
  <si>
    <t>Interviu cu o personalitate</t>
  </si>
  <si>
    <t>Elaborare şi aprobare concept* Popovici E, Şchiopu</t>
  </si>
  <si>
    <t>Cercetare şi documentare* Popovici E</t>
  </si>
  <si>
    <t>8</t>
  </si>
  <si>
    <t>Planificare, coordonare* Popovici E</t>
  </si>
  <si>
    <t>3</t>
  </si>
  <si>
    <t>Elaborare desfăşurător emisiune* Popovici E</t>
  </si>
  <si>
    <t>Alla Schiopu</t>
  </si>
  <si>
    <t>onorar 355 lei/em</t>
  </si>
  <si>
    <t>1/2</t>
  </si>
  <si>
    <t>100790/23=4382 lei în mediu după state</t>
  </si>
  <si>
    <t>Eugeniu Popovici</t>
  </si>
  <si>
    <t>29710/9=3301 lei în mediu după state</t>
  </si>
  <si>
    <t>1 per</t>
  </si>
  <si>
    <t>2 per</t>
  </si>
  <si>
    <t>11 ore</t>
  </si>
  <si>
    <t>Dor</t>
  </si>
  <si>
    <t>semidocumentar</t>
  </si>
  <si>
    <t xml:space="preserve">direct         </t>
  </si>
  <si>
    <t xml:space="preserve">transmisiune    </t>
  </si>
  <si>
    <t>înregistrare   +</t>
  </si>
  <si>
    <t>Galaico V</t>
  </si>
  <si>
    <t>Cărăuş S</t>
  </si>
  <si>
    <t>Corespondent</t>
  </si>
  <si>
    <t>4</t>
  </si>
  <si>
    <t>Vizir A</t>
  </si>
  <si>
    <t>Iluminator</t>
  </si>
  <si>
    <t>3/2</t>
  </si>
  <si>
    <t>Editor montare</t>
  </si>
  <si>
    <t>Elaborare şi aprobare concept* Cărăuş S</t>
  </si>
  <si>
    <t>Cercetare şi documentare* Cărăuş S</t>
  </si>
  <si>
    <t>Planificare, coordonare* Cărăuş S</t>
  </si>
  <si>
    <t>Elaborare desfăşurător emisiune* Cărăuş S</t>
  </si>
  <si>
    <t>100790/23</t>
  </si>
  <si>
    <t>87330/19</t>
  </si>
  <si>
    <t>49980/16</t>
  </si>
  <si>
    <t>Tip (număr) studio*: S2</t>
  </si>
  <si>
    <t>Casete (crono)* 5 casete anual</t>
  </si>
  <si>
    <t>Tip (număr) studio*: N2</t>
  </si>
  <si>
    <t>Cultura azi</t>
  </si>
  <si>
    <t>45 min</t>
  </si>
  <si>
    <t>Elaborare şi aprobare concept* Popodneac L</t>
  </si>
  <si>
    <t>Cercetare şi documentare* Popodneac L</t>
  </si>
  <si>
    <t>Planificare, coordonare* Popodneac L</t>
  </si>
  <si>
    <t>Elaborare desfăşurător emisiune* Popodneac L</t>
  </si>
  <si>
    <t xml:space="preserve"> - investigări</t>
  </si>
  <si>
    <t xml:space="preserve"> - informări, readaptări</t>
  </si>
  <si>
    <t>Popodneac L</t>
  </si>
  <si>
    <t>Reporter</t>
  </si>
  <si>
    <t>Reabcov M</t>
  </si>
  <si>
    <t>Văluţă I</t>
  </si>
  <si>
    <t>10</t>
  </si>
  <si>
    <t>Alte costuri de materiale** (închirierea unor elemente pentru filmări)</t>
  </si>
  <si>
    <t>5 min</t>
  </si>
  <si>
    <t>15 min</t>
  </si>
  <si>
    <t>6 min</t>
  </si>
  <si>
    <t>revistă de cultură</t>
  </si>
  <si>
    <t>Elaborare şi aprobare concept* Canţer N</t>
  </si>
  <si>
    <t>Cercetare şi documentare* Canţer N</t>
  </si>
  <si>
    <t>Planificare, coordonare* Canţer N, Creţu V</t>
  </si>
  <si>
    <t>Elaborare desfăşurător emisiune* Canţer N</t>
  </si>
  <si>
    <t xml:space="preserve"> - informare, selectare</t>
  </si>
  <si>
    <t xml:space="preserve"> - adunarea materialelor foto, video</t>
  </si>
  <si>
    <t>Canţer N</t>
  </si>
  <si>
    <t>25300/7</t>
  </si>
  <si>
    <t>Creţu V</t>
  </si>
  <si>
    <t>Beşelea E</t>
  </si>
  <si>
    <t>18</t>
  </si>
  <si>
    <t>Casete (crono)* 40 casete anual</t>
  </si>
  <si>
    <t xml:space="preserve">Alte costuri de materiale** </t>
  </si>
  <si>
    <t>Artelier</t>
  </si>
  <si>
    <t>schiţă televizată</t>
  </si>
  <si>
    <t>Prezentator</t>
  </si>
  <si>
    <t>Proca Iu</t>
  </si>
  <si>
    <t>Redactor fond</t>
  </si>
  <si>
    <t>12</t>
  </si>
  <si>
    <t xml:space="preserve">Tip (număr) studio*: </t>
  </si>
  <si>
    <t>Casete (crono)* 6 casete anual</t>
  </si>
  <si>
    <t>DVD* 30 anual</t>
  </si>
  <si>
    <t>0,5 un</t>
  </si>
  <si>
    <t>Prin muzică în Europa</t>
  </si>
  <si>
    <t>lunară</t>
  </si>
  <si>
    <t>2 ore</t>
  </si>
  <si>
    <t>cognitiv-artistică</t>
  </si>
  <si>
    <t xml:space="preserve">înregistrare   </t>
  </si>
  <si>
    <t>Elaborare şi aprobare concept* Vasilcău N</t>
  </si>
  <si>
    <t>Cercetare şi documentare* Vasilcău N</t>
  </si>
  <si>
    <t>Elaborare desfăşurător emisiune* Vasilcău N</t>
  </si>
  <si>
    <t>Planificare, coordonare* Vasilcău N, Cotun A</t>
  </si>
  <si>
    <t>24 ore</t>
  </si>
  <si>
    <t>Vasilcău N</t>
  </si>
  <si>
    <t>9/6</t>
  </si>
  <si>
    <t>Cotun A</t>
  </si>
  <si>
    <t>Castraveţ Sv</t>
  </si>
  <si>
    <t>Nacu Z</t>
  </si>
  <si>
    <t>Scenograf</t>
  </si>
  <si>
    <t>Lodzeischii I</t>
  </si>
  <si>
    <t>5/2</t>
  </si>
  <si>
    <t>O seară în familie</t>
  </si>
  <si>
    <t>săptămînal</t>
  </si>
  <si>
    <t>1 oră</t>
  </si>
  <si>
    <t xml:space="preserve">direct        </t>
  </si>
  <si>
    <t>Emisiune de studio cu elemente artistice, pauze muzicale şi secvenţe filmate</t>
  </si>
  <si>
    <t xml:space="preserve"> în teren</t>
  </si>
  <si>
    <t>Elaborare şi aprobare concept* Russu R</t>
  </si>
  <si>
    <t>Cercetare şi documentare* Russu R</t>
  </si>
  <si>
    <t>Planificare, coordonare* Brumă N</t>
  </si>
  <si>
    <t>7</t>
  </si>
  <si>
    <t>Russu R</t>
  </si>
  <si>
    <t>Brumă N</t>
  </si>
  <si>
    <t>Dimitrova G</t>
  </si>
  <si>
    <t>5</t>
  </si>
  <si>
    <t>Tăbîrţă A</t>
  </si>
  <si>
    <t>Ungureanu D</t>
  </si>
  <si>
    <t>40 min</t>
  </si>
  <si>
    <t>24</t>
  </si>
  <si>
    <t>2</t>
  </si>
  <si>
    <t xml:space="preserve">Elaborare şi aprobare concept* </t>
  </si>
  <si>
    <t xml:space="preserve">Cercetare şi documentare* </t>
  </si>
  <si>
    <t xml:space="preserve">Planificare, coordonare* </t>
  </si>
  <si>
    <t>Portrete în timp</t>
  </si>
  <si>
    <t>lunar</t>
  </si>
  <si>
    <t>6 ore</t>
  </si>
  <si>
    <t>documentar</t>
  </si>
  <si>
    <t>Scorpan N</t>
  </si>
  <si>
    <t>32</t>
  </si>
  <si>
    <t>Smetanina V</t>
  </si>
  <si>
    <t>16</t>
  </si>
  <si>
    <t>Casete (crono)* 30 casete anual</t>
  </si>
  <si>
    <t>Cum e corect?</t>
  </si>
  <si>
    <t>prelegeri</t>
  </si>
  <si>
    <t>Doctori în filologie, preofesori vin în faţa spectatorului pentru a atenţiona asupra</t>
  </si>
  <si>
    <t>greşelolor de limbă comise de vorbitorii de limbă română</t>
  </si>
  <si>
    <t>Aniversări</t>
  </si>
  <si>
    <t>Număr persoane* anual 4-5 deplasări</t>
  </si>
  <si>
    <t>DVD* 20 buc/an</t>
  </si>
  <si>
    <t>2 min</t>
  </si>
  <si>
    <t>Evantai folcloric</t>
  </si>
  <si>
    <t>bilunar</t>
  </si>
  <si>
    <t>schiţă, portret, divertisment</t>
  </si>
  <si>
    <t>Valorificarea, promovarea şi depozitarea folclorului autentic românesc</t>
  </si>
  <si>
    <t>Elaborare şi aprobare concept*  Bolboceanu N</t>
  </si>
  <si>
    <t>Cercetare şi documentare* Bolboceanu N</t>
  </si>
  <si>
    <t>Planificare, coordonare* Bolboceanu N</t>
  </si>
  <si>
    <t>Elaborare desfăşurător emisiune* Bolboceanu N</t>
  </si>
  <si>
    <t>Bolboceanu N</t>
  </si>
  <si>
    <t>Autor</t>
  </si>
  <si>
    <t>8/3</t>
  </si>
  <si>
    <t>DVD* 24 buc anual</t>
  </si>
  <si>
    <t>Costurile de producere a emisiunilor TV</t>
  </si>
  <si>
    <t>Destine de colecţie</t>
  </si>
  <si>
    <t>portret</t>
  </si>
  <si>
    <t xml:space="preserve">direct       </t>
  </si>
  <si>
    <t>+</t>
  </si>
  <si>
    <t xml:space="preserve"> - generic grafic</t>
  </si>
  <si>
    <t>Editor</t>
  </si>
  <si>
    <t xml:space="preserve">Cameraman </t>
  </si>
  <si>
    <t>2 pers</t>
  </si>
  <si>
    <t>1 pers</t>
  </si>
  <si>
    <t xml:space="preserve">Camere (model) </t>
  </si>
  <si>
    <t xml:space="preserve">Lumini </t>
  </si>
  <si>
    <t xml:space="preserve">2.4.2 Sala de montaj </t>
  </si>
  <si>
    <t xml:space="preserve">numărul orelor de folosire* </t>
  </si>
  <si>
    <t>Lavaliere</t>
  </si>
  <si>
    <t xml:space="preserve">Numărul unităţi de transport* </t>
  </si>
  <si>
    <t>zile</t>
  </si>
  <si>
    <t>Recuzită</t>
  </si>
  <si>
    <t xml:space="preserve">Consumabile* </t>
  </si>
  <si>
    <t xml:space="preserve">Casete (crono)* </t>
  </si>
  <si>
    <t>Arenda încăperi</t>
  </si>
  <si>
    <t xml:space="preserve">Servicii de telefonie** </t>
  </si>
  <si>
    <t>Costuri indirecte privind serviciile auxiliare**(anexa 2)</t>
  </si>
  <si>
    <t>6</t>
  </si>
  <si>
    <t>30</t>
  </si>
  <si>
    <t>48980/16=3061</t>
  </si>
  <si>
    <t>52660/13,5=3901</t>
  </si>
  <si>
    <t>100790/23=4382 state</t>
  </si>
  <si>
    <t>Chiperi C</t>
  </si>
  <si>
    <t>16900 sal promo/7 ore em orig*30 z în lună</t>
  </si>
  <si>
    <t>Stil nou</t>
  </si>
  <si>
    <t>săptămînală</t>
  </si>
  <si>
    <t>20</t>
  </si>
  <si>
    <t xml:space="preserve"> - concept </t>
  </si>
  <si>
    <t xml:space="preserve"> - realizare </t>
  </si>
  <si>
    <t>Mihailă M</t>
  </si>
  <si>
    <t>25</t>
  </si>
  <si>
    <t>Onişcenco I</t>
  </si>
  <si>
    <t>Bruma N</t>
  </si>
  <si>
    <t>Editor imagine</t>
  </si>
  <si>
    <t>pers</t>
  </si>
  <si>
    <t>divertisment</t>
  </si>
  <si>
    <t>Procesul şi explicaţia schimbării de look a unei persoane, plus sfaturi practice</t>
  </si>
  <si>
    <t>Planificare, coordonare* Mihăilă M</t>
  </si>
  <si>
    <t>Elaborare desfăşurător emisiune* Mihăilă M</t>
  </si>
  <si>
    <t>81770/21=3894</t>
  </si>
  <si>
    <t>Promo emisiuni* 2 ore/an</t>
  </si>
  <si>
    <t>22</t>
  </si>
  <si>
    <t>Camere (model) Beta SP</t>
  </si>
  <si>
    <t xml:space="preserve">IV. COSTURI TOTALE </t>
  </si>
  <si>
    <t>5 ore 30 min</t>
  </si>
  <si>
    <t>O schiţă-portret despre viaţa şi activitatea oamenilor de cultură decedaţi</t>
  </si>
  <si>
    <t>Elaborare şi aprobare concept* Galaico V</t>
  </si>
  <si>
    <t>Cercetare şi documentare* Galaico V</t>
  </si>
  <si>
    <t>Planificare, coordonare* Galaico V</t>
  </si>
  <si>
    <t>Elaborare desfăşurător emisiune* Galaico V</t>
  </si>
  <si>
    <t>36</t>
  </si>
  <si>
    <t>Casete (crono)* 3 casete/an</t>
  </si>
  <si>
    <t>Tezaur</t>
  </si>
  <si>
    <t>Ropot I</t>
  </si>
  <si>
    <t>Burlacu R</t>
  </si>
  <si>
    <t>Rotari V</t>
  </si>
  <si>
    <t>Elaborare şi aprobare concept* Ropot I</t>
  </si>
  <si>
    <t>Planificare, coordonare* Ropot I, Burlacu R</t>
  </si>
  <si>
    <t>11560/4=2890</t>
  </si>
  <si>
    <t>La noi în sat</t>
  </si>
  <si>
    <t>Vartic A</t>
  </si>
  <si>
    <t>4 pers</t>
  </si>
  <si>
    <t>Vartic P</t>
  </si>
  <si>
    <t>Hard disk</t>
  </si>
  <si>
    <t>educativ-muzical</t>
  </si>
  <si>
    <t>O emisiune care îşi propune să descopere talente, să valorifice folclorul</t>
  </si>
  <si>
    <t>autentic, să promoveze meşteri populari</t>
  </si>
  <si>
    <t>Chiaburu I</t>
  </si>
  <si>
    <t>Dabija V</t>
  </si>
  <si>
    <t>7/4</t>
  </si>
  <si>
    <t>Elaborare şi aprobare concept* Vartic A</t>
  </si>
  <si>
    <t>Cercetare şi documentare* Vartic A</t>
  </si>
  <si>
    <t>Planificare, coordonare* Vartic A, Vartic P</t>
  </si>
  <si>
    <t>Elaborare desfăşurător emisiune* Vartic A, Vartic P</t>
  </si>
  <si>
    <t>Vestimentaţie* închiriere</t>
  </si>
  <si>
    <t xml:space="preserve"> - vopsea</t>
  </si>
  <si>
    <t xml:space="preserve"> - zăpadă artificială</t>
  </si>
  <si>
    <t>anual</t>
  </si>
  <si>
    <t>direct       +</t>
  </si>
  <si>
    <t>transmisiune +</t>
  </si>
  <si>
    <t>Show concurs, selecţia naţională</t>
  </si>
  <si>
    <t xml:space="preserve"> - arenda LED, sunet, traveling, stadicam, lynk</t>
  </si>
  <si>
    <t>Vasilcău N, Donica D</t>
  </si>
  <si>
    <t>Donica D, Alioşin A</t>
  </si>
  <si>
    <t>3 pers</t>
  </si>
  <si>
    <t>concurs</t>
  </si>
  <si>
    <r>
      <t xml:space="preserve">Elaborare şi aprobare concept* </t>
    </r>
    <r>
      <rPr>
        <sz val="10"/>
        <rFont val="Tahoma"/>
        <family val="2"/>
      </rPr>
      <t>Vasilcău, Donica, Melnic</t>
    </r>
  </si>
  <si>
    <r>
      <t xml:space="preserve">Cercetare şi documentare* </t>
    </r>
    <r>
      <rPr>
        <sz val="10"/>
        <rFont val="Tahoma"/>
        <family val="2"/>
      </rPr>
      <t>Vasilcău, Donica, Cojocaru V</t>
    </r>
  </si>
  <si>
    <r>
      <t xml:space="preserve">Planificare, coordonare* </t>
    </r>
    <r>
      <rPr>
        <sz val="10"/>
        <rFont val="Tahoma"/>
        <family val="2"/>
      </rPr>
      <t>Cojocaru V, Sîrghi, Radul</t>
    </r>
  </si>
  <si>
    <r>
      <t>Elaborare desfăşurător emisiune*</t>
    </r>
    <r>
      <rPr>
        <sz val="9"/>
        <rFont val="Tahoma"/>
        <family val="2"/>
      </rPr>
      <t>Vasilcău, Donica, Melnic</t>
    </r>
  </si>
  <si>
    <t xml:space="preserve">9 pers </t>
  </si>
  <si>
    <t>100/2</t>
  </si>
  <si>
    <t>Tăbîrţă A, 2 pers</t>
  </si>
  <si>
    <t>29710/9=3301</t>
  </si>
  <si>
    <t>melnic 8720*12/2010=52,06</t>
  </si>
  <si>
    <t>cojocaru 7260*12/2010=43,34</t>
  </si>
  <si>
    <t>Eurovision 2014</t>
  </si>
  <si>
    <t>Ziua Independenţei</t>
  </si>
  <si>
    <t>informativ-distractiv</t>
  </si>
  <si>
    <t>Depunere de flori, paradă, recitaluri, concert festiv</t>
  </si>
  <si>
    <r>
      <t xml:space="preserve">Elaborare şi aprobare concept* </t>
    </r>
    <r>
      <rPr>
        <sz val="10"/>
        <rFont val="Tahoma"/>
        <family val="2"/>
      </rPr>
      <t>Galaico V, Donică D</t>
    </r>
  </si>
  <si>
    <r>
      <t xml:space="preserve">Cercetare şi documentare* </t>
    </r>
    <r>
      <rPr>
        <sz val="10"/>
        <rFont val="Tahoma"/>
        <family val="2"/>
      </rPr>
      <t>Galaico V, Donică D</t>
    </r>
  </si>
  <si>
    <r>
      <t xml:space="preserve">Planificare, coordonare* </t>
    </r>
    <r>
      <rPr>
        <sz val="10"/>
        <rFont val="Tahoma"/>
        <family val="2"/>
      </rPr>
      <t>Galaico V, Donică D</t>
    </r>
  </si>
  <si>
    <r>
      <t>Elaborare desfăşurător emisiune*</t>
    </r>
    <r>
      <rPr>
        <sz val="9"/>
        <rFont val="Tahoma"/>
        <family val="2"/>
      </rPr>
      <t xml:space="preserve"> Galaico V, Donică D</t>
    </r>
  </si>
  <si>
    <t>20/2</t>
  </si>
  <si>
    <t xml:space="preserve">8 pers </t>
  </si>
  <si>
    <t>Donica D sau Alioşin A</t>
  </si>
  <si>
    <t>Consumabile* ceai, cafea</t>
  </si>
  <si>
    <t>7 ore 45 m</t>
  </si>
  <si>
    <t>7260*12/2010=43,34</t>
  </si>
  <si>
    <t>Ziua Limbii Române</t>
  </si>
  <si>
    <t>Recital şi depunere de flori în Aleea Clasicilor, concert festiv</t>
  </si>
  <si>
    <r>
      <t xml:space="preserve">Elaborare şi aprobare concept* </t>
    </r>
    <r>
      <rPr>
        <sz val="10"/>
        <rFont val="Tahoma"/>
        <family val="2"/>
      </rPr>
      <t xml:space="preserve">Popodneac L, Reabcov </t>
    </r>
  </si>
  <si>
    <r>
      <t xml:space="preserve">Cercetare şi documentare* </t>
    </r>
    <r>
      <rPr>
        <sz val="10"/>
        <rFont val="Tahoma"/>
        <family val="2"/>
      </rPr>
      <t>Popodneac L, Reabcov M</t>
    </r>
  </si>
  <si>
    <r>
      <t xml:space="preserve">Planificare, coordonare* </t>
    </r>
    <r>
      <rPr>
        <sz val="10"/>
        <rFont val="Tahoma"/>
        <family val="2"/>
      </rPr>
      <t>Popodneac L, Reabcov M</t>
    </r>
  </si>
  <si>
    <r>
      <t>Elaborare desfăşurător emisiune*</t>
    </r>
    <r>
      <rPr>
        <sz val="9"/>
        <rFont val="Tahoma"/>
        <family val="2"/>
      </rPr>
      <t xml:space="preserve"> Popodneac L,Reabcov </t>
    </r>
  </si>
  <si>
    <t>Reabcov M sau Alioşin A</t>
  </si>
  <si>
    <t>16900 sal promo/(7 ore em orig*30 z în lună)</t>
  </si>
  <si>
    <t>Promo emisiuni* 1 oră/an</t>
  </si>
  <si>
    <t>Promo emisiuni* 3 ore/an</t>
  </si>
  <si>
    <t>Promovare externă* 2 ore/an</t>
  </si>
  <si>
    <t>Dabija V/ Lagoda Gh</t>
  </si>
  <si>
    <t>Băluţă A/ Popov V</t>
  </si>
  <si>
    <t>9</t>
  </si>
  <si>
    <t>Rudeaghina O/ Dimitrova G</t>
  </si>
  <si>
    <t>Castraveţ Sv/ Văluţă I</t>
  </si>
  <si>
    <t>6 pers</t>
  </si>
  <si>
    <t>Coordonat                                                Aprobat</t>
  </si>
  <si>
    <t>Director Radio Moldova                           Preşedinte al IPNA</t>
  </si>
  <si>
    <t>Director TV Moldova 1                            „Compania „Teleradio-Moldova”</t>
  </si>
  <si>
    <t>Legendele muzicii</t>
  </si>
  <si>
    <t>cultura</t>
  </si>
  <si>
    <t>10'</t>
  </si>
  <si>
    <t>ciclul de emisiuni legate de muzicieni  (cîntăreţi, formaţii muzicale, instrumentişti, compozitori) ce au  avut  un impact major  asupra culturii universale.</t>
  </si>
  <si>
    <t>Elaborare şi aprobare concept*</t>
  </si>
  <si>
    <t>Cercetare şi documentare*</t>
  </si>
  <si>
    <t>Planificare, coordonare*</t>
  </si>
  <si>
    <t>Culai Angela</t>
  </si>
  <si>
    <t>Tip (număr) studio*: ___________________</t>
  </si>
  <si>
    <t>Cinemateca Universala</t>
  </si>
  <si>
    <t>bilunara</t>
  </si>
  <si>
    <t>15'</t>
  </si>
  <si>
    <t>Emisiune consacrata cinematografiei mondiale</t>
  </si>
  <si>
    <t xml:space="preserve">6 ore </t>
  </si>
  <si>
    <t>15 ore</t>
  </si>
  <si>
    <t>118430/27=4386 din state</t>
  </si>
  <si>
    <t>55820/14,5=3850 din state</t>
  </si>
  <si>
    <t>Prime de asigurări medicale, 4%**</t>
  </si>
  <si>
    <t>Revistă de cultură (reportaje, crochiuri, schiţă) cu folosirea materialelor de arhivă</t>
  </si>
  <si>
    <t>(TV, personale, de autor)</t>
  </si>
  <si>
    <t>Dabija V/ Smirnov D/Drujinin V</t>
  </si>
  <si>
    <t>Jdanaia O/Coşcodan M</t>
  </si>
  <si>
    <t>17410 sal promo/(7 ore em orig*30 z în lună)</t>
  </si>
  <si>
    <t xml:space="preserve">Spectacole muzicale, serate de creaţie a interpreţilor instituţiilor concertistice, </t>
  </si>
  <si>
    <t>uniuni de creaţie</t>
  </si>
  <si>
    <t>numărul orelor de folosire* (1 dată la 3 em)</t>
  </si>
  <si>
    <t>Casete (crono)* 12 casete/an</t>
  </si>
  <si>
    <t>Vestimentaţie* chirie</t>
  </si>
  <si>
    <t>75 min</t>
  </si>
  <si>
    <t>Planificare, coordonare* Canţer N</t>
  </si>
  <si>
    <t>Coşcodan M/Jdanaia O</t>
  </si>
  <si>
    <t>revistă TV</t>
  </si>
  <si>
    <t>O revistă TV cu mai multe rubrici. Fiecare ediţie conţine 4-5 rubrici,</t>
  </si>
  <si>
    <t>în dependenţă de subiectele adunate.</t>
  </si>
  <si>
    <t>Grafician</t>
  </si>
  <si>
    <t>18200/4=4550</t>
  </si>
  <si>
    <t>portret de creaţie+momente biografice</t>
  </si>
  <si>
    <t>O emisiune care îşi propune să aducă în prim plan personalităţi din diferite</t>
  </si>
  <si>
    <t>domenii ale artei şi literaturii.</t>
  </si>
  <si>
    <t>55820/14,5=3850</t>
  </si>
  <si>
    <t>Emisiune-document cu viaţa şi activitatea marilor maieştri ai culturii din ţară</t>
  </si>
  <si>
    <t>(şi nu numai din domeniul muzicii)</t>
  </si>
  <si>
    <t>Casete (crono)* 2 casete anual</t>
  </si>
  <si>
    <t>17140 sal promo/7 ore em orig*30 z în lună</t>
  </si>
  <si>
    <t>Elaborare şi aprobare concept* Mihăilă M, Galaico V</t>
  </si>
  <si>
    <t>10/2</t>
  </si>
  <si>
    <t>Cercetare şi documentare* Mihăilă M, Galaico V</t>
  </si>
  <si>
    <t>Elaborare desfăşurător emisiune* Brumă N</t>
  </si>
  <si>
    <t>12 min</t>
  </si>
  <si>
    <t>3 ore 40 min</t>
  </si>
  <si>
    <t>Sonorizare</t>
  </si>
  <si>
    <t>Cojocaru V</t>
  </si>
  <si>
    <t>Casete (crono)* 2 casete/an</t>
  </si>
  <si>
    <t>40 sec</t>
  </si>
  <si>
    <t>Destinul deosebit al unei persoane, prezentat într-un gen documentar</t>
  </si>
  <si>
    <t>Elaborare şi aprobare concept* Chiperi C, Creţu V</t>
  </si>
  <si>
    <t>Cercetare şi documentare* Chiperi C, Creţu V</t>
  </si>
  <si>
    <t>Planificare, coordonare* Chiperi C, Creţu V</t>
  </si>
  <si>
    <t>Elaborare desfăşurător emisiune* Chiperi C</t>
  </si>
  <si>
    <t>Pictor machior</t>
  </si>
  <si>
    <t>0,5</t>
  </si>
  <si>
    <t>Coafor</t>
  </si>
  <si>
    <t>Tip (număr) studio*:</t>
  </si>
  <si>
    <t xml:space="preserve">Număr persoane* </t>
  </si>
  <si>
    <t>Casete (crono)* 6 casete/an</t>
  </si>
  <si>
    <t>Un documentar despre personalităţile de artă şi cultură din spaţiul RM</t>
  </si>
  <si>
    <t>şi de peste hotare</t>
  </si>
  <si>
    <t xml:space="preserve"> - concept selectarea şi stabilirea platourilor de filmare</t>
  </si>
  <si>
    <t>proces de investigaţie</t>
  </si>
  <si>
    <t>Coroitoru S/Grosu A</t>
  </si>
  <si>
    <t>Scorpan N (după caz)</t>
  </si>
  <si>
    <t>Protagoniştii documentarului</t>
  </si>
  <si>
    <t>Smetanina V/Rudeaghina O</t>
  </si>
  <si>
    <t>Lodzeischii I/Crivoşeeva E</t>
  </si>
  <si>
    <t>Borş T/Cotovici Sv</t>
  </si>
  <si>
    <t>Machiaj</t>
  </si>
  <si>
    <t>Casete (crono)* 10 casete anual</t>
  </si>
  <si>
    <t>DVD* 25 buc anual</t>
  </si>
  <si>
    <t xml:space="preserve">Promo emisiuni* </t>
  </si>
  <si>
    <t>12 ore</t>
  </si>
  <si>
    <t>publicistic</t>
  </si>
  <si>
    <t xml:space="preserve">Tezaut - emisiune de promovare a patrimoniului cultural imaterial şi a purtătorilor </t>
  </si>
  <si>
    <t>de tezaur uman viu.</t>
  </si>
  <si>
    <t>Cercetare şi documentare* Buzilă V</t>
  </si>
  <si>
    <t>Elaborare desfăşurător emisiune* Ropot I</t>
  </si>
  <si>
    <t>90 lei/em-onorar</t>
  </si>
  <si>
    <t>36 ore</t>
  </si>
  <si>
    <t>9 ore</t>
  </si>
  <si>
    <t>16 ore 30 min</t>
  </si>
  <si>
    <t>11</t>
  </si>
  <si>
    <t>22 ore</t>
  </si>
  <si>
    <t>48</t>
  </si>
  <si>
    <t>48 ore</t>
  </si>
  <si>
    <t>3 ore</t>
  </si>
  <si>
    <t>60/3</t>
  </si>
  <si>
    <t>35/3</t>
  </si>
  <si>
    <t>15/3</t>
  </si>
  <si>
    <t>30/3</t>
  </si>
  <si>
    <t>60/2</t>
  </si>
  <si>
    <t>35</t>
  </si>
  <si>
    <t>40/9</t>
  </si>
  <si>
    <t>40/3</t>
  </si>
  <si>
    <t>40/4</t>
  </si>
  <si>
    <t>28/2</t>
  </si>
  <si>
    <t>6,5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</si>
</sst>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4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5"/>
      <name val="Tahoma"/>
      <family val="2"/>
    </font>
    <font>
      <b/>
      <i/>
      <u val="single"/>
      <sz val="11"/>
      <name val="Tahoma"/>
      <family val="2"/>
    </font>
    <font>
      <i/>
      <sz val="11"/>
      <name val="Tahoma"/>
      <family val="2"/>
    </font>
    <font>
      <i/>
      <sz val="14"/>
      <name val="Garamond"/>
      <family val="1"/>
    </font>
    <font>
      <sz val="14"/>
      <name val="Garamond"/>
      <family val="1"/>
    </font>
    <font>
      <sz val="10"/>
      <name val="Times New Roman"/>
      <family val="1"/>
    </font>
    <font>
      <sz val="11"/>
      <name val="Garamond"/>
      <family val="1"/>
    </font>
    <font>
      <sz val="11"/>
      <name val="Arial"/>
      <family val="2"/>
    </font>
    <font>
      <sz val="11"/>
      <name val="Arial Cyr"/>
      <family val="0"/>
    </font>
    <font>
      <sz val="10"/>
      <name val="Tahoma"/>
      <family val="2"/>
    </font>
    <font>
      <sz val="9"/>
      <name val="Tahoma"/>
      <family val="2"/>
    </font>
    <font>
      <i/>
      <u val="single"/>
      <sz val="11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9" fillId="40" borderId="0" applyNumberFormat="0" applyBorder="0" applyAlignment="0" applyProtection="0"/>
    <xf numFmtId="0" fontId="40" fillId="41" borderId="1" applyNumberFormat="0" applyAlignment="0" applyProtection="0"/>
    <xf numFmtId="0" fontId="41" fillId="4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44" borderId="1" applyNumberFormat="0" applyAlignment="0" applyProtection="0"/>
    <xf numFmtId="0" fontId="48" fillId="0" borderId="6" applyNumberFormat="0" applyFill="0" applyAlignment="0" applyProtection="0"/>
    <xf numFmtId="0" fontId="49" fillId="45" borderId="0" applyNumberFormat="0" applyBorder="0" applyAlignment="0" applyProtection="0"/>
    <xf numFmtId="0" fontId="0" fillId="46" borderId="7" applyNumberFormat="0" applyFont="0" applyAlignment="0" applyProtection="0"/>
    <xf numFmtId="0" fontId="50" fillId="41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50" borderId="0" applyNumberFormat="0" applyBorder="0" applyAlignment="0" applyProtection="0"/>
    <xf numFmtId="0" fontId="3" fillId="13" borderId="10" applyNumberFormat="0" applyAlignment="0" applyProtection="0"/>
    <xf numFmtId="0" fontId="4" fillId="51" borderId="11" applyNumberFormat="0" applyAlignment="0" applyProtection="0"/>
    <xf numFmtId="0" fontId="5" fillId="51" borderId="10" applyNumberFormat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52" borderId="16" applyNumberFormat="0" applyAlignment="0" applyProtection="0"/>
    <xf numFmtId="0" fontId="12" fillId="0" borderId="0" applyNumberFormat="0" applyFill="0" applyBorder="0" applyAlignment="0" applyProtection="0"/>
    <xf numFmtId="0" fontId="13" fillId="5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54" borderId="17" applyNumberFormat="0" applyFont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</cellStyleXfs>
  <cellXfs count="756">
    <xf numFmtId="0" fontId="0" fillId="0" borderId="0" xfId="0" applyAlignment="1">
      <alignment/>
    </xf>
    <xf numFmtId="0" fontId="20" fillId="0" borderId="0" xfId="97" applyFont="1">
      <alignment/>
      <protection/>
    </xf>
    <xf numFmtId="0" fontId="6" fillId="0" borderId="0" xfId="97">
      <alignment/>
      <protection/>
    </xf>
    <xf numFmtId="0" fontId="21" fillId="0" borderId="0" xfId="97" applyFont="1">
      <alignment/>
      <protection/>
    </xf>
    <xf numFmtId="0" fontId="23" fillId="0" borderId="0" xfId="97" applyFont="1">
      <alignment/>
      <protection/>
    </xf>
    <xf numFmtId="0" fontId="24" fillId="0" borderId="19" xfId="97" applyFont="1" applyBorder="1" applyAlignment="1">
      <alignment horizontal="center" wrapText="1"/>
      <protection/>
    </xf>
    <xf numFmtId="0" fontId="24" fillId="0" borderId="20" xfId="97" applyFont="1" applyBorder="1" applyAlignment="1">
      <alignment horizontal="justify" wrapText="1"/>
      <protection/>
    </xf>
    <xf numFmtId="0" fontId="24" fillId="0" borderId="20" xfId="97" applyFont="1" applyBorder="1" applyAlignment="1">
      <alignment horizontal="center" wrapText="1"/>
      <protection/>
    </xf>
    <xf numFmtId="0" fontId="25" fillId="0" borderId="0" xfId="97" applyFont="1">
      <alignment/>
      <protection/>
    </xf>
    <xf numFmtId="0" fontId="26" fillId="0" borderId="20" xfId="97" applyFont="1" applyBorder="1" applyAlignment="1">
      <alignment horizontal="left" wrapText="1"/>
      <protection/>
    </xf>
    <xf numFmtId="0" fontId="24" fillId="0" borderId="19" xfId="97" applyFont="1" applyBorder="1" applyAlignment="1">
      <alignment vertical="top" wrapText="1"/>
      <protection/>
    </xf>
    <xf numFmtId="0" fontId="24" fillId="0" borderId="21" xfId="97" applyFont="1" applyBorder="1" applyAlignment="1">
      <alignment vertical="top" wrapText="1"/>
      <protection/>
    </xf>
    <xf numFmtId="0" fontId="24" fillId="0" borderId="22" xfId="97" applyFont="1" applyBorder="1" applyAlignment="1">
      <alignment vertical="top" wrapText="1"/>
      <protection/>
    </xf>
    <xf numFmtId="0" fontId="24" fillId="0" borderId="0" xfId="97" applyFont="1">
      <alignment/>
      <protection/>
    </xf>
    <xf numFmtId="0" fontId="23" fillId="55" borderId="23" xfId="97" applyFont="1" applyFill="1" applyBorder="1" applyAlignment="1">
      <alignment horizontal="center" wrapText="1"/>
      <protection/>
    </xf>
    <xf numFmtId="0" fontId="23" fillId="55" borderId="24" xfId="97" applyFont="1" applyFill="1" applyBorder="1" applyAlignment="1">
      <alignment horizontal="center" wrapText="1"/>
      <protection/>
    </xf>
    <xf numFmtId="0" fontId="23" fillId="55" borderId="25" xfId="97" applyFont="1" applyFill="1" applyBorder="1" applyAlignment="1">
      <alignment horizontal="center" wrapText="1"/>
      <protection/>
    </xf>
    <xf numFmtId="0" fontId="23" fillId="55" borderId="22" xfId="97" applyFont="1" applyFill="1" applyBorder="1" applyAlignment="1">
      <alignment horizontal="center" wrapText="1"/>
      <protection/>
    </xf>
    <xf numFmtId="0" fontId="23" fillId="0" borderId="26" xfId="97" applyFont="1" applyBorder="1" applyAlignment="1">
      <alignment horizontal="center" wrapText="1"/>
      <protection/>
    </xf>
    <xf numFmtId="0" fontId="23" fillId="0" borderId="24" xfId="97" applyFont="1" applyBorder="1" applyAlignment="1">
      <alignment horizontal="center" wrapText="1"/>
      <protection/>
    </xf>
    <xf numFmtId="0" fontId="23" fillId="0" borderId="27" xfId="97" applyFont="1" applyBorder="1" applyAlignment="1">
      <alignment horizontal="center" wrapText="1"/>
      <protection/>
    </xf>
    <xf numFmtId="0" fontId="24" fillId="0" borderId="28" xfId="97" applyFont="1" applyBorder="1" applyAlignment="1">
      <alignment horizontal="center" wrapText="1"/>
      <protection/>
    </xf>
    <xf numFmtId="49" fontId="24" fillId="0" borderId="28" xfId="97" applyNumberFormat="1" applyFont="1" applyBorder="1" applyAlignment="1">
      <alignment horizontal="center" wrapText="1"/>
      <protection/>
    </xf>
    <xf numFmtId="2" fontId="24" fillId="0" borderId="28" xfId="97" applyNumberFormat="1" applyFont="1" applyBorder="1" applyAlignment="1">
      <alignment horizontal="center" wrapText="1"/>
      <protection/>
    </xf>
    <xf numFmtId="1" fontId="24" fillId="0" borderId="28" xfId="97" applyNumberFormat="1" applyFont="1" applyBorder="1" applyAlignment="1">
      <alignment horizontal="center" wrapText="1"/>
      <protection/>
    </xf>
    <xf numFmtId="0" fontId="24" fillId="0" borderId="29" xfId="97" applyFont="1" applyBorder="1" applyAlignment="1">
      <alignment horizontal="center" wrapText="1"/>
      <protection/>
    </xf>
    <xf numFmtId="0" fontId="24" fillId="0" borderId="29" xfId="97" applyFont="1" applyBorder="1" applyAlignment="1">
      <alignment wrapText="1"/>
      <protection/>
    </xf>
    <xf numFmtId="0" fontId="24" fillId="0" borderId="0" xfId="97" applyFont="1" applyBorder="1" applyAlignment="1">
      <alignment horizontal="center" wrapText="1"/>
      <protection/>
    </xf>
    <xf numFmtId="0" fontId="24" fillId="0" borderId="30" xfId="97" applyFont="1" applyBorder="1" applyAlignment="1">
      <alignment horizontal="center" wrapText="1"/>
      <protection/>
    </xf>
    <xf numFmtId="0" fontId="24" fillId="0" borderId="30" xfId="97" applyFont="1" applyBorder="1" applyAlignment="1">
      <alignment wrapText="1"/>
      <protection/>
    </xf>
    <xf numFmtId="0" fontId="24" fillId="0" borderId="31" xfId="97" applyFont="1" applyBorder="1" applyAlignment="1">
      <alignment horizontal="center" wrapText="1"/>
      <protection/>
    </xf>
    <xf numFmtId="0" fontId="24" fillId="0" borderId="31" xfId="97" applyFont="1" applyBorder="1" applyAlignment="1">
      <alignment wrapText="1"/>
      <protection/>
    </xf>
    <xf numFmtId="0" fontId="23" fillId="0" borderId="0" xfId="97" applyFont="1" applyBorder="1" applyAlignment="1">
      <alignment horizontal="center" wrapText="1"/>
      <protection/>
    </xf>
    <xf numFmtId="0" fontId="24" fillId="0" borderId="28" xfId="97" applyFont="1" applyBorder="1" applyAlignment="1">
      <alignment horizontal="justify" wrapText="1"/>
      <protection/>
    </xf>
    <xf numFmtId="0" fontId="24" fillId="0" borderId="0" xfId="97" applyFont="1" applyAlignment="1">
      <alignment horizontal="center"/>
      <protection/>
    </xf>
    <xf numFmtId="0" fontId="23" fillId="55" borderId="24" xfId="97" applyFont="1" applyFill="1" applyBorder="1" applyAlignment="1">
      <alignment vertical="center" wrapText="1"/>
      <protection/>
    </xf>
    <xf numFmtId="0" fontId="23" fillId="0" borderId="28" xfId="97" applyFont="1" applyBorder="1" applyAlignment="1">
      <alignment horizontal="center" wrapText="1"/>
      <protection/>
    </xf>
    <xf numFmtId="0" fontId="24" fillId="0" borderId="32" xfId="97" applyFont="1" applyBorder="1" applyAlignment="1">
      <alignment wrapText="1"/>
      <protection/>
    </xf>
    <xf numFmtId="0" fontId="24" fillId="0" borderId="32" xfId="97" applyFont="1" applyBorder="1" applyAlignment="1">
      <alignment horizontal="center" wrapText="1"/>
      <protection/>
    </xf>
    <xf numFmtId="0" fontId="24" fillId="0" borderId="0" xfId="97" applyFont="1" applyBorder="1" applyAlignment="1">
      <alignment wrapText="1"/>
      <protection/>
    </xf>
    <xf numFmtId="0" fontId="24" fillId="0" borderId="28" xfId="97" applyFont="1" applyBorder="1" applyAlignment="1">
      <alignment wrapText="1"/>
      <protection/>
    </xf>
    <xf numFmtId="0" fontId="24" fillId="0" borderId="28" xfId="97" applyFont="1" applyBorder="1" applyAlignment="1">
      <alignment horizontal="center" vertical="center" wrapText="1"/>
      <protection/>
    </xf>
    <xf numFmtId="1" fontId="24" fillId="0" borderId="28" xfId="97" applyNumberFormat="1" applyFont="1" applyBorder="1" applyAlignment="1">
      <alignment horizontal="center" vertical="center" wrapText="1"/>
      <protection/>
    </xf>
    <xf numFmtId="0" fontId="24" fillId="0" borderId="28" xfId="97" applyFont="1" applyFill="1" applyBorder="1" applyAlignment="1">
      <alignment horizontal="center" vertical="center" wrapText="1"/>
      <protection/>
    </xf>
    <xf numFmtId="2" fontId="24" fillId="0" borderId="28" xfId="97" applyNumberFormat="1" applyFont="1" applyBorder="1" applyAlignment="1">
      <alignment horizontal="center" vertical="center" wrapText="1"/>
      <protection/>
    </xf>
    <xf numFmtId="0" fontId="24" fillId="0" borderId="0" xfId="97" applyFont="1" applyBorder="1" applyAlignment="1">
      <alignment horizontal="center" vertical="center" wrapText="1"/>
      <protection/>
    </xf>
    <xf numFmtId="0" fontId="30" fillId="0" borderId="0" xfId="97" applyFont="1" applyAlignment="1">
      <alignment wrapText="1"/>
      <protection/>
    </xf>
    <xf numFmtId="0" fontId="23" fillId="55" borderId="33" xfId="97" applyFont="1" applyFill="1" applyBorder="1" applyAlignment="1">
      <alignment vertical="center" wrapText="1"/>
      <protection/>
    </xf>
    <xf numFmtId="0" fontId="23" fillId="55" borderId="23" xfId="97" applyFont="1" applyFill="1" applyBorder="1" applyAlignment="1">
      <alignment vertical="center" wrapText="1"/>
      <protection/>
    </xf>
    <xf numFmtId="0" fontId="23" fillId="55" borderId="24" xfId="97" applyFont="1" applyFill="1" applyBorder="1" applyAlignment="1">
      <alignment vertical="justify" wrapText="1"/>
      <protection/>
    </xf>
    <xf numFmtId="0" fontId="23" fillId="55" borderId="0" xfId="97" applyFont="1" applyFill="1" applyBorder="1" applyAlignment="1">
      <alignment horizontal="center" wrapText="1"/>
      <protection/>
    </xf>
    <xf numFmtId="0" fontId="31" fillId="0" borderId="0" xfId="97" applyFont="1" applyBorder="1" applyAlignment="1">
      <alignment wrapText="1"/>
      <protection/>
    </xf>
    <xf numFmtId="0" fontId="24" fillId="0" borderId="0" xfId="97" applyFont="1" applyFill="1" applyBorder="1" applyAlignment="1">
      <alignment horizontal="center" wrapText="1"/>
      <protection/>
    </xf>
    <xf numFmtId="0" fontId="31" fillId="0" borderId="0" xfId="97" applyFont="1" applyFill="1" applyBorder="1" applyAlignment="1">
      <alignment wrapText="1"/>
      <protection/>
    </xf>
    <xf numFmtId="0" fontId="6" fillId="0" borderId="0" xfId="97" applyFill="1">
      <alignment/>
      <protection/>
    </xf>
    <xf numFmtId="0" fontId="23" fillId="55" borderId="27" xfId="97" applyFont="1" applyFill="1" applyBorder="1" applyAlignment="1">
      <alignment horizontal="center" wrapText="1"/>
      <protection/>
    </xf>
    <xf numFmtId="0" fontId="23" fillId="55" borderId="26" xfId="97" applyFont="1" applyFill="1" applyBorder="1" applyAlignment="1">
      <alignment horizontal="center" wrapText="1"/>
      <protection/>
    </xf>
    <xf numFmtId="0" fontId="24" fillId="0" borderId="20" xfId="102" applyFont="1" applyBorder="1" applyAlignment="1">
      <alignment horizontal="center" wrapText="1"/>
      <protection/>
    </xf>
    <xf numFmtId="0" fontId="23" fillId="55" borderId="34" xfId="97" applyFont="1" applyFill="1" applyBorder="1" applyAlignment="1">
      <alignment horizontal="center" wrapText="1"/>
      <protection/>
    </xf>
    <xf numFmtId="0" fontId="24" fillId="0" borderId="31" xfId="97" applyFont="1" applyBorder="1" applyAlignment="1">
      <alignment horizontal="center" vertical="center" wrapText="1"/>
      <protection/>
    </xf>
    <xf numFmtId="1" fontId="24" fillId="0" borderId="31" xfId="97" applyNumberFormat="1" applyFont="1" applyBorder="1" applyAlignment="1">
      <alignment horizontal="center" vertical="center" wrapText="1"/>
      <protection/>
    </xf>
    <xf numFmtId="0" fontId="23" fillId="0" borderId="28" xfId="97" applyFont="1" applyBorder="1" applyAlignment="1">
      <alignment horizontal="center" vertical="center" wrapText="1"/>
      <protection/>
    </xf>
    <xf numFmtId="0" fontId="24" fillId="0" borderId="0" xfId="97" applyFont="1" applyAlignment="1">
      <alignment horizontal="left"/>
      <protection/>
    </xf>
    <xf numFmtId="0" fontId="6" fillId="0" borderId="0" xfId="99">
      <alignment/>
      <protection/>
    </xf>
    <xf numFmtId="0" fontId="20" fillId="0" borderId="0" xfId="100" applyFont="1">
      <alignment/>
      <protection/>
    </xf>
    <xf numFmtId="0" fontId="6" fillId="0" borderId="0" xfId="100">
      <alignment/>
      <protection/>
    </xf>
    <xf numFmtId="0" fontId="21" fillId="0" borderId="0" xfId="100" applyFont="1">
      <alignment/>
      <protection/>
    </xf>
    <xf numFmtId="0" fontId="23" fillId="0" borderId="0" xfId="100" applyFont="1">
      <alignment/>
      <protection/>
    </xf>
    <xf numFmtId="0" fontId="24" fillId="0" borderId="19" xfId="100" applyFont="1" applyBorder="1" applyAlignment="1">
      <alignment horizontal="center" wrapText="1"/>
      <protection/>
    </xf>
    <xf numFmtId="0" fontId="24" fillId="0" borderId="20" xfId="100" applyFont="1" applyBorder="1" applyAlignment="1">
      <alignment horizontal="justify" wrapText="1"/>
      <protection/>
    </xf>
    <xf numFmtId="0" fontId="24" fillId="0" borderId="20" xfId="100" applyFont="1" applyBorder="1" applyAlignment="1">
      <alignment horizontal="center" wrapText="1"/>
      <protection/>
    </xf>
    <xf numFmtId="0" fontId="25" fillId="0" borderId="0" xfId="100" applyFont="1">
      <alignment/>
      <protection/>
    </xf>
    <xf numFmtId="0" fontId="27" fillId="0" borderId="20" xfId="100" applyFont="1" applyBorder="1" applyAlignment="1">
      <alignment horizontal="left" wrapText="1"/>
      <protection/>
    </xf>
    <xf numFmtId="0" fontId="24" fillId="0" borderId="19" xfId="100" applyFont="1" applyBorder="1" applyAlignment="1">
      <alignment vertical="top" wrapText="1"/>
      <protection/>
    </xf>
    <xf numFmtId="0" fontId="24" fillId="0" borderId="21" xfId="100" applyFont="1" applyBorder="1" applyAlignment="1">
      <alignment vertical="top" wrapText="1"/>
      <protection/>
    </xf>
    <xf numFmtId="0" fontId="24" fillId="0" borderId="22" xfId="100" applyFont="1" applyBorder="1" applyAlignment="1">
      <alignment vertical="top" wrapText="1"/>
      <protection/>
    </xf>
    <xf numFmtId="0" fontId="24" fillId="0" borderId="0" xfId="100" applyFont="1">
      <alignment/>
      <protection/>
    </xf>
    <xf numFmtId="0" fontId="23" fillId="55" borderId="23" xfId="100" applyFont="1" applyFill="1" applyBorder="1" applyAlignment="1">
      <alignment horizontal="center" wrapText="1"/>
      <protection/>
    </xf>
    <xf numFmtId="0" fontId="23" fillId="55" borderId="24" xfId="100" applyFont="1" applyFill="1" applyBorder="1" applyAlignment="1">
      <alignment horizontal="center" wrapText="1"/>
      <protection/>
    </xf>
    <xf numFmtId="0" fontId="23" fillId="55" borderId="25" xfId="100" applyFont="1" applyFill="1" applyBorder="1" applyAlignment="1">
      <alignment horizontal="center" wrapText="1"/>
      <protection/>
    </xf>
    <xf numFmtId="0" fontId="23" fillId="55" borderId="22" xfId="100" applyFont="1" applyFill="1" applyBorder="1" applyAlignment="1">
      <alignment horizontal="center" wrapText="1"/>
      <protection/>
    </xf>
    <xf numFmtId="0" fontId="23" fillId="0" borderId="26" xfId="100" applyFont="1" applyBorder="1" applyAlignment="1">
      <alignment horizontal="center" wrapText="1"/>
      <protection/>
    </xf>
    <xf numFmtId="0" fontId="23" fillId="0" borderId="24" xfId="100" applyFont="1" applyBorder="1" applyAlignment="1">
      <alignment horizontal="center" wrapText="1"/>
      <protection/>
    </xf>
    <xf numFmtId="0" fontId="23" fillId="0" borderId="27" xfId="100" applyFont="1" applyBorder="1" applyAlignment="1">
      <alignment horizontal="center" wrapText="1"/>
      <protection/>
    </xf>
    <xf numFmtId="0" fontId="24" fillId="0" borderId="28" xfId="100" applyFont="1" applyBorder="1" applyAlignment="1">
      <alignment horizontal="center" wrapText="1"/>
      <protection/>
    </xf>
    <xf numFmtId="1" fontId="24" fillId="0" borderId="28" xfId="100" applyNumberFormat="1" applyFont="1" applyBorder="1" applyAlignment="1">
      <alignment horizontal="center" wrapText="1"/>
      <protection/>
    </xf>
    <xf numFmtId="2" fontId="24" fillId="0" borderId="28" xfId="100" applyNumberFormat="1" applyFont="1" applyBorder="1" applyAlignment="1">
      <alignment horizontal="center" wrapText="1"/>
      <protection/>
    </xf>
    <xf numFmtId="0" fontId="24" fillId="0" borderId="0" xfId="100" applyFont="1" applyBorder="1" applyAlignment="1">
      <alignment wrapText="1"/>
      <protection/>
    </xf>
    <xf numFmtId="0" fontId="24" fillId="0" borderId="29" xfId="100" applyFont="1" applyBorder="1" applyAlignment="1">
      <alignment horizontal="center" wrapText="1"/>
      <protection/>
    </xf>
    <xf numFmtId="0" fontId="24" fillId="0" borderId="0" xfId="100" applyFont="1" applyBorder="1" applyAlignment="1">
      <alignment horizontal="center" wrapText="1"/>
      <protection/>
    </xf>
    <xf numFmtId="0" fontId="24" fillId="0" borderId="30" xfId="100" applyFont="1" applyBorder="1" applyAlignment="1">
      <alignment horizontal="center" wrapText="1"/>
      <protection/>
    </xf>
    <xf numFmtId="0" fontId="24" fillId="0" borderId="31" xfId="100" applyFont="1" applyBorder="1" applyAlignment="1">
      <alignment horizontal="center" wrapText="1"/>
      <protection/>
    </xf>
    <xf numFmtId="0" fontId="23" fillId="0" borderId="0" xfId="100" applyFont="1" applyBorder="1" applyAlignment="1">
      <alignment horizontal="center" wrapText="1"/>
      <protection/>
    </xf>
    <xf numFmtId="0" fontId="24" fillId="0" borderId="28" xfId="100" applyFont="1" applyBorder="1" applyAlignment="1">
      <alignment horizontal="justify" wrapText="1"/>
      <protection/>
    </xf>
    <xf numFmtId="49" fontId="24" fillId="0" borderId="28" xfId="100" applyNumberFormat="1" applyFont="1" applyBorder="1" applyAlignment="1">
      <alignment horizontal="center" wrapText="1"/>
      <protection/>
    </xf>
    <xf numFmtId="0" fontId="24" fillId="0" borderId="0" xfId="100" applyFont="1" applyAlignment="1">
      <alignment horizontal="center"/>
      <protection/>
    </xf>
    <xf numFmtId="0" fontId="23" fillId="55" borderId="24" xfId="100" applyFont="1" applyFill="1" applyBorder="1" applyAlignment="1">
      <alignment vertical="center" wrapText="1"/>
      <protection/>
    </xf>
    <xf numFmtId="0" fontId="23" fillId="0" borderId="28" xfId="100" applyFont="1" applyBorder="1" applyAlignment="1">
      <alignment horizontal="center" wrapText="1"/>
      <protection/>
    </xf>
    <xf numFmtId="0" fontId="24" fillId="0" borderId="32" xfId="100" applyFont="1" applyBorder="1" applyAlignment="1">
      <alignment wrapText="1"/>
      <protection/>
    </xf>
    <xf numFmtId="0" fontId="24" fillId="0" borderId="32" xfId="100" applyFont="1" applyBorder="1" applyAlignment="1">
      <alignment horizontal="center" wrapText="1"/>
      <protection/>
    </xf>
    <xf numFmtId="0" fontId="24" fillId="0" borderId="28" xfId="100" applyFont="1" applyBorder="1" applyAlignment="1">
      <alignment wrapText="1"/>
      <protection/>
    </xf>
    <xf numFmtId="0" fontId="24" fillId="0" borderId="28" xfId="100" applyFont="1" applyBorder="1" applyAlignment="1">
      <alignment horizontal="center" vertical="center" wrapText="1"/>
      <protection/>
    </xf>
    <xf numFmtId="0" fontId="24" fillId="0" borderId="0" xfId="100" applyFont="1" applyBorder="1" applyAlignment="1">
      <alignment horizontal="center" vertical="center" wrapText="1"/>
      <protection/>
    </xf>
    <xf numFmtId="1" fontId="24" fillId="0" borderId="28" xfId="100" applyNumberFormat="1" applyFont="1" applyBorder="1" applyAlignment="1">
      <alignment horizontal="center" vertical="center" wrapText="1"/>
      <protection/>
    </xf>
    <xf numFmtId="0" fontId="30" fillId="0" borderId="0" xfId="100" applyFont="1" applyAlignment="1">
      <alignment wrapText="1"/>
      <protection/>
    </xf>
    <xf numFmtId="0" fontId="23" fillId="55" borderId="33" xfId="100" applyFont="1" applyFill="1" applyBorder="1" applyAlignment="1">
      <alignment vertical="center" wrapText="1"/>
      <protection/>
    </xf>
    <xf numFmtId="0" fontId="23" fillId="55" borderId="23" xfId="100" applyFont="1" applyFill="1" applyBorder="1" applyAlignment="1">
      <alignment vertical="center" wrapText="1"/>
      <protection/>
    </xf>
    <xf numFmtId="2" fontId="24" fillId="0" borderId="28" xfId="100" applyNumberFormat="1" applyFont="1" applyBorder="1" applyAlignment="1">
      <alignment horizontal="center" vertical="center" wrapText="1"/>
      <protection/>
    </xf>
    <xf numFmtId="0" fontId="23" fillId="55" borderId="24" xfId="100" applyFont="1" applyFill="1" applyBorder="1" applyAlignment="1">
      <alignment vertical="justify" wrapText="1"/>
      <protection/>
    </xf>
    <xf numFmtId="0" fontId="23" fillId="55" borderId="0" xfId="100" applyFont="1" applyFill="1" applyBorder="1" applyAlignment="1">
      <alignment horizontal="center" wrapText="1"/>
      <protection/>
    </xf>
    <xf numFmtId="0" fontId="31" fillId="0" borderId="0" xfId="100" applyFont="1" applyBorder="1" applyAlignment="1">
      <alignment wrapText="1"/>
      <protection/>
    </xf>
    <xf numFmtId="0" fontId="24" fillId="0" borderId="28" xfId="100" applyFont="1" applyFill="1" applyBorder="1" applyAlignment="1">
      <alignment horizontal="center" vertical="center" wrapText="1"/>
      <protection/>
    </xf>
    <xf numFmtId="0" fontId="23" fillId="55" borderId="27" xfId="100" applyFont="1" applyFill="1" applyBorder="1" applyAlignment="1">
      <alignment horizontal="center" wrapText="1"/>
      <protection/>
    </xf>
    <xf numFmtId="0" fontId="23" fillId="55" borderId="26" xfId="100" applyFont="1" applyFill="1" applyBorder="1" applyAlignment="1">
      <alignment horizontal="center" wrapText="1"/>
      <protection/>
    </xf>
    <xf numFmtId="0" fontId="23" fillId="0" borderId="28" xfId="100" applyFont="1" applyBorder="1" applyAlignment="1">
      <alignment horizontal="center" vertical="center" wrapText="1"/>
      <protection/>
    </xf>
    <xf numFmtId="175" fontId="24" fillId="0" borderId="28" xfId="100" applyNumberFormat="1" applyFont="1" applyBorder="1" applyAlignment="1">
      <alignment horizontal="center" vertical="center" wrapText="1"/>
      <protection/>
    </xf>
    <xf numFmtId="0" fontId="24" fillId="0" borderId="0" xfId="100" applyFont="1" applyAlignment="1">
      <alignment horizontal="left"/>
      <protection/>
    </xf>
    <xf numFmtId="0" fontId="6" fillId="0" borderId="0" xfId="100" applyFont="1">
      <alignment/>
      <protection/>
    </xf>
    <xf numFmtId="0" fontId="20" fillId="0" borderId="0" xfId="102" applyFont="1">
      <alignment/>
      <protection/>
    </xf>
    <xf numFmtId="0" fontId="6" fillId="0" borderId="0" xfId="102">
      <alignment/>
      <protection/>
    </xf>
    <xf numFmtId="0" fontId="21" fillId="0" borderId="0" xfId="102" applyFont="1">
      <alignment/>
      <protection/>
    </xf>
    <xf numFmtId="0" fontId="23" fillId="0" borderId="0" xfId="102" applyFont="1">
      <alignment/>
      <protection/>
    </xf>
    <xf numFmtId="0" fontId="24" fillId="0" borderId="19" xfId="102" applyFont="1" applyBorder="1" applyAlignment="1">
      <alignment horizontal="center" wrapText="1"/>
      <protection/>
    </xf>
    <xf numFmtId="0" fontId="24" fillId="0" borderId="20" xfId="102" applyFont="1" applyBorder="1" applyAlignment="1">
      <alignment horizontal="justify" wrapText="1"/>
      <protection/>
    </xf>
    <xf numFmtId="0" fontId="25" fillId="0" borderId="0" xfId="102" applyFont="1">
      <alignment/>
      <protection/>
    </xf>
    <xf numFmtId="0" fontId="27" fillId="0" borderId="20" xfId="102" applyFont="1" applyBorder="1" applyAlignment="1">
      <alignment horizontal="left" wrapText="1"/>
      <protection/>
    </xf>
    <xf numFmtId="0" fontId="24" fillId="0" borderId="19" xfId="102" applyFont="1" applyBorder="1" applyAlignment="1">
      <alignment vertical="top" wrapText="1"/>
      <protection/>
    </xf>
    <xf numFmtId="0" fontId="24" fillId="0" borderId="21" xfId="102" applyFont="1" applyBorder="1" applyAlignment="1">
      <alignment vertical="top" wrapText="1"/>
      <protection/>
    </xf>
    <xf numFmtId="0" fontId="24" fillId="0" borderId="22" xfId="102" applyFont="1" applyBorder="1" applyAlignment="1">
      <alignment vertical="top" wrapText="1"/>
      <protection/>
    </xf>
    <xf numFmtId="0" fontId="24" fillId="0" borderId="0" xfId="102" applyFont="1">
      <alignment/>
      <protection/>
    </xf>
    <xf numFmtId="0" fontId="23" fillId="55" borderId="23" xfId="102" applyFont="1" applyFill="1" applyBorder="1" applyAlignment="1">
      <alignment horizontal="center" wrapText="1"/>
      <protection/>
    </xf>
    <xf numFmtId="0" fontId="23" fillId="55" borderId="24" xfId="102" applyFont="1" applyFill="1" applyBorder="1" applyAlignment="1">
      <alignment horizontal="center" wrapText="1"/>
      <protection/>
    </xf>
    <xf numFmtId="0" fontId="23" fillId="55" borderId="25" xfId="102" applyFont="1" applyFill="1" applyBorder="1" applyAlignment="1">
      <alignment horizontal="center" wrapText="1"/>
      <protection/>
    </xf>
    <xf numFmtId="0" fontId="23" fillId="55" borderId="22" xfId="102" applyFont="1" applyFill="1" applyBorder="1" applyAlignment="1">
      <alignment horizontal="center" wrapText="1"/>
      <protection/>
    </xf>
    <xf numFmtId="0" fontId="23" fillId="0" borderId="26" xfId="102" applyFont="1" applyBorder="1" applyAlignment="1">
      <alignment horizontal="center" wrapText="1"/>
      <protection/>
    </xf>
    <xf numFmtId="0" fontId="23" fillId="0" borderId="24" xfId="102" applyFont="1" applyBorder="1" applyAlignment="1">
      <alignment horizontal="center" wrapText="1"/>
      <protection/>
    </xf>
    <xf numFmtId="0" fontId="23" fillId="0" borderId="27" xfId="102" applyFont="1" applyBorder="1" applyAlignment="1">
      <alignment horizontal="center" wrapText="1"/>
      <protection/>
    </xf>
    <xf numFmtId="0" fontId="24" fillId="0" borderId="28" xfId="102" applyFont="1" applyBorder="1" applyAlignment="1">
      <alignment horizontal="center" wrapText="1"/>
      <protection/>
    </xf>
    <xf numFmtId="49" fontId="24" fillId="0" borderId="28" xfId="102" applyNumberFormat="1" applyFont="1" applyBorder="1" applyAlignment="1">
      <alignment horizontal="center" wrapText="1"/>
      <protection/>
    </xf>
    <xf numFmtId="2" fontId="24" fillId="0" borderId="28" xfId="102" applyNumberFormat="1" applyFont="1" applyBorder="1" applyAlignment="1">
      <alignment horizontal="center" wrapText="1"/>
      <protection/>
    </xf>
    <xf numFmtId="1" fontId="24" fillId="0" borderId="28" xfId="102" applyNumberFormat="1" applyFont="1" applyBorder="1" applyAlignment="1">
      <alignment horizontal="center" wrapText="1"/>
      <protection/>
    </xf>
    <xf numFmtId="0" fontId="24" fillId="0" borderId="0" xfId="102" applyFont="1" applyBorder="1" applyAlignment="1">
      <alignment wrapText="1"/>
      <protection/>
    </xf>
    <xf numFmtId="0" fontId="24" fillId="0" borderId="29" xfId="102" applyFont="1" applyBorder="1" applyAlignment="1">
      <alignment horizontal="center" wrapText="1"/>
      <protection/>
    </xf>
    <xf numFmtId="0" fontId="24" fillId="0" borderId="0" xfId="102" applyFont="1" applyBorder="1" applyAlignment="1">
      <alignment horizontal="center" wrapText="1"/>
      <protection/>
    </xf>
    <xf numFmtId="0" fontId="24" fillId="0" borderId="30" xfId="102" applyFont="1" applyBorder="1" applyAlignment="1">
      <alignment horizontal="center" wrapText="1"/>
      <protection/>
    </xf>
    <xf numFmtId="0" fontId="24" fillId="0" borderId="31" xfId="102" applyFont="1" applyBorder="1" applyAlignment="1">
      <alignment horizontal="center" wrapText="1"/>
      <protection/>
    </xf>
    <xf numFmtId="0" fontId="23" fillId="0" borderId="0" xfId="102" applyFont="1" applyBorder="1" applyAlignment="1">
      <alignment horizontal="center" wrapText="1"/>
      <protection/>
    </xf>
    <xf numFmtId="0" fontId="24" fillId="0" borderId="28" xfId="102" applyFont="1" applyBorder="1" applyAlignment="1">
      <alignment horizontal="justify" wrapText="1"/>
      <protection/>
    </xf>
    <xf numFmtId="0" fontId="24" fillId="0" borderId="0" xfId="102" applyFont="1" applyAlignment="1">
      <alignment horizontal="center"/>
      <protection/>
    </xf>
    <xf numFmtId="0" fontId="23" fillId="55" borderId="24" xfId="102" applyFont="1" applyFill="1" applyBorder="1" applyAlignment="1">
      <alignment vertical="center" wrapText="1"/>
      <protection/>
    </xf>
    <xf numFmtId="0" fontId="23" fillId="0" borderId="28" xfId="102" applyFont="1" applyBorder="1" applyAlignment="1">
      <alignment horizontal="center" wrapText="1"/>
      <protection/>
    </xf>
    <xf numFmtId="0" fontId="24" fillId="0" borderId="32" xfId="102" applyFont="1" applyBorder="1" applyAlignment="1">
      <alignment wrapText="1"/>
      <protection/>
    </xf>
    <xf numFmtId="0" fontId="24" fillId="0" borderId="32" xfId="102" applyFont="1" applyBorder="1" applyAlignment="1">
      <alignment horizontal="center" wrapText="1"/>
      <protection/>
    </xf>
    <xf numFmtId="0" fontId="24" fillId="0" borderId="28" xfId="102" applyFont="1" applyBorder="1" applyAlignment="1">
      <alignment wrapText="1"/>
      <protection/>
    </xf>
    <xf numFmtId="0" fontId="24" fillId="0" borderId="28" xfId="102" applyFont="1" applyBorder="1" applyAlignment="1">
      <alignment horizontal="center" vertical="center" wrapText="1"/>
      <protection/>
    </xf>
    <xf numFmtId="0" fontId="24" fillId="0" borderId="0" xfId="102" applyFont="1" applyBorder="1" applyAlignment="1">
      <alignment horizontal="center" vertical="center" wrapText="1"/>
      <protection/>
    </xf>
    <xf numFmtId="1" fontId="24" fillId="0" borderId="28" xfId="102" applyNumberFormat="1" applyFont="1" applyBorder="1" applyAlignment="1">
      <alignment horizontal="center" vertical="center" wrapText="1"/>
      <protection/>
    </xf>
    <xf numFmtId="0" fontId="30" fillId="0" borderId="0" xfId="102" applyFont="1" applyAlignment="1">
      <alignment wrapText="1"/>
      <protection/>
    </xf>
    <xf numFmtId="0" fontId="23" fillId="55" borderId="33" xfId="102" applyFont="1" applyFill="1" applyBorder="1" applyAlignment="1">
      <alignment vertical="center" wrapText="1"/>
      <protection/>
    </xf>
    <xf numFmtId="0" fontId="23" fillId="55" borderId="23" xfId="102" applyFont="1" applyFill="1" applyBorder="1" applyAlignment="1">
      <alignment vertical="center" wrapText="1"/>
      <protection/>
    </xf>
    <xf numFmtId="2" fontId="24" fillId="0" borderId="28" xfId="102" applyNumberFormat="1" applyFont="1" applyBorder="1" applyAlignment="1">
      <alignment horizontal="center" vertical="center" wrapText="1"/>
      <protection/>
    </xf>
    <xf numFmtId="0" fontId="23" fillId="55" borderId="24" xfId="102" applyFont="1" applyFill="1" applyBorder="1" applyAlignment="1">
      <alignment vertical="justify" wrapText="1"/>
      <protection/>
    </xf>
    <xf numFmtId="0" fontId="23" fillId="55" borderId="0" xfId="102" applyFont="1" applyFill="1" applyBorder="1" applyAlignment="1">
      <alignment horizontal="center" wrapText="1"/>
      <protection/>
    </xf>
    <xf numFmtId="0" fontId="31" fillId="0" borderId="0" xfId="102" applyFont="1" applyBorder="1" applyAlignment="1">
      <alignment wrapText="1"/>
      <protection/>
    </xf>
    <xf numFmtId="0" fontId="24" fillId="0" borderId="28" xfId="102" applyFont="1" applyFill="1" applyBorder="1" applyAlignment="1">
      <alignment horizontal="center" vertical="center" wrapText="1"/>
      <protection/>
    </xf>
    <xf numFmtId="49" fontId="24" fillId="0" borderId="28" xfId="102" applyNumberFormat="1" applyFont="1" applyBorder="1" applyAlignment="1">
      <alignment horizontal="center" vertical="center" wrapText="1"/>
      <protection/>
    </xf>
    <xf numFmtId="0" fontId="23" fillId="55" borderId="27" xfId="102" applyFont="1" applyFill="1" applyBorder="1" applyAlignment="1">
      <alignment horizontal="center" wrapText="1"/>
      <protection/>
    </xf>
    <xf numFmtId="0" fontId="23" fillId="55" borderId="26" xfId="102" applyFont="1" applyFill="1" applyBorder="1" applyAlignment="1">
      <alignment horizontal="center" wrapText="1"/>
      <protection/>
    </xf>
    <xf numFmtId="0" fontId="23" fillId="55" borderId="34" xfId="102" applyFont="1" applyFill="1" applyBorder="1" applyAlignment="1">
      <alignment horizontal="center" wrapText="1"/>
      <protection/>
    </xf>
    <xf numFmtId="0" fontId="24" fillId="0" borderId="31" xfId="102" applyFont="1" applyBorder="1" applyAlignment="1">
      <alignment horizontal="center" vertical="center" wrapText="1"/>
      <protection/>
    </xf>
    <xf numFmtId="1" fontId="24" fillId="0" borderId="31" xfId="102" applyNumberFormat="1" applyFont="1" applyBorder="1" applyAlignment="1">
      <alignment horizontal="center" vertical="center" wrapText="1"/>
      <protection/>
    </xf>
    <xf numFmtId="0" fontId="23" fillId="0" borderId="28" xfId="102" applyFont="1" applyBorder="1" applyAlignment="1">
      <alignment horizontal="center" vertical="center" wrapText="1"/>
      <protection/>
    </xf>
    <xf numFmtId="0" fontId="24" fillId="0" borderId="0" xfId="102" applyFont="1" applyAlignment="1">
      <alignment horizontal="left"/>
      <protection/>
    </xf>
    <xf numFmtId="0" fontId="20" fillId="0" borderId="0" xfId="106" applyFont="1">
      <alignment/>
      <protection/>
    </xf>
    <xf numFmtId="0" fontId="6" fillId="0" borderId="0" xfId="106">
      <alignment/>
      <protection/>
    </xf>
    <xf numFmtId="0" fontId="21" fillId="0" borderId="0" xfId="106" applyFont="1">
      <alignment/>
      <protection/>
    </xf>
    <xf numFmtId="0" fontId="23" fillId="0" borderId="0" xfId="106" applyFont="1">
      <alignment/>
      <protection/>
    </xf>
    <xf numFmtId="0" fontId="24" fillId="0" borderId="19" xfId="106" applyFont="1" applyBorder="1" applyAlignment="1">
      <alignment horizontal="center" wrapText="1"/>
      <protection/>
    </xf>
    <xf numFmtId="0" fontId="24" fillId="0" borderId="20" xfId="106" applyFont="1" applyBorder="1" applyAlignment="1">
      <alignment horizontal="justify" wrapText="1"/>
      <protection/>
    </xf>
    <xf numFmtId="0" fontId="24" fillId="0" borderId="20" xfId="106" applyFont="1" applyBorder="1" applyAlignment="1">
      <alignment horizontal="center" wrapText="1"/>
      <protection/>
    </xf>
    <xf numFmtId="0" fontId="25" fillId="0" borderId="0" xfId="106" applyFont="1">
      <alignment/>
      <protection/>
    </xf>
    <xf numFmtId="0" fontId="27" fillId="0" borderId="20" xfId="106" applyFont="1" applyBorder="1" applyAlignment="1">
      <alignment horizontal="left" wrapText="1"/>
      <protection/>
    </xf>
    <xf numFmtId="0" fontId="24" fillId="0" borderId="19" xfId="106" applyFont="1" applyBorder="1" applyAlignment="1">
      <alignment vertical="top" wrapText="1"/>
      <protection/>
    </xf>
    <xf numFmtId="0" fontId="24" fillId="0" borderId="21" xfId="106" applyFont="1" applyBorder="1" applyAlignment="1">
      <alignment vertical="top" wrapText="1"/>
      <protection/>
    </xf>
    <xf numFmtId="0" fontId="24" fillId="0" borderId="22" xfId="106" applyFont="1" applyBorder="1" applyAlignment="1">
      <alignment vertical="top" wrapText="1"/>
      <protection/>
    </xf>
    <xf numFmtId="0" fontId="24" fillId="0" borderId="0" xfId="106" applyFont="1">
      <alignment/>
      <protection/>
    </xf>
    <xf numFmtId="0" fontId="23" fillId="55" borderId="23" xfId="106" applyFont="1" applyFill="1" applyBorder="1" applyAlignment="1">
      <alignment horizontal="center" wrapText="1"/>
      <protection/>
    </xf>
    <xf numFmtId="0" fontId="23" fillId="55" borderId="24" xfId="106" applyFont="1" applyFill="1" applyBorder="1" applyAlignment="1">
      <alignment horizontal="center" wrapText="1"/>
      <protection/>
    </xf>
    <xf numFmtId="0" fontId="23" fillId="55" borderId="25" xfId="106" applyFont="1" applyFill="1" applyBorder="1" applyAlignment="1">
      <alignment horizontal="center" wrapText="1"/>
      <protection/>
    </xf>
    <xf numFmtId="0" fontId="23" fillId="55" borderId="22" xfId="106" applyFont="1" applyFill="1" applyBorder="1" applyAlignment="1">
      <alignment horizontal="center" wrapText="1"/>
      <protection/>
    </xf>
    <xf numFmtId="0" fontId="23" fillId="0" borderId="26" xfId="106" applyFont="1" applyBorder="1" applyAlignment="1">
      <alignment horizontal="center" wrapText="1"/>
      <protection/>
    </xf>
    <xf numFmtId="0" fontId="23" fillId="0" borderId="24" xfId="106" applyFont="1" applyBorder="1" applyAlignment="1">
      <alignment horizontal="center" wrapText="1"/>
      <protection/>
    </xf>
    <xf numFmtId="0" fontId="23" fillId="0" borderId="27" xfId="106" applyFont="1" applyBorder="1" applyAlignment="1">
      <alignment horizontal="center" wrapText="1"/>
      <protection/>
    </xf>
    <xf numFmtId="0" fontId="24" fillId="0" borderId="28" xfId="106" applyFont="1" applyBorder="1" applyAlignment="1">
      <alignment horizontal="center" wrapText="1"/>
      <protection/>
    </xf>
    <xf numFmtId="49" fontId="24" fillId="0" borderId="28" xfId="106" applyNumberFormat="1" applyFont="1" applyBorder="1" applyAlignment="1">
      <alignment horizontal="center" wrapText="1"/>
      <protection/>
    </xf>
    <xf numFmtId="2" fontId="24" fillId="0" borderId="28" xfId="106" applyNumberFormat="1" applyFont="1" applyBorder="1" applyAlignment="1">
      <alignment horizontal="center" wrapText="1"/>
      <protection/>
    </xf>
    <xf numFmtId="1" fontId="24" fillId="0" borderId="28" xfId="106" applyNumberFormat="1" applyFont="1" applyBorder="1" applyAlignment="1">
      <alignment horizontal="center" wrapText="1"/>
      <protection/>
    </xf>
    <xf numFmtId="0" fontId="24" fillId="0" borderId="28" xfId="106" applyNumberFormat="1" applyFont="1" applyBorder="1" applyAlignment="1">
      <alignment horizontal="center" wrapText="1"/>
      <protection/>
    </xf>
    <xf numFmtId="0" fontId="24" fillId="0" borderId="0" xfId="106" applyFont="1" applyBorder="1" applyAlignment="1">
      <alignment wrapText="1"/>
      <protection/>
    </xf>
    <xf numFmtId="0" fontId="24" fillId="0" borderId="29" xfId="106" applyFont="1" applyBorder="1" applyAlignment="1">
      <alignment horizontal="center" wrapText="1"/>
      <protection/>
    </xf>
    <xf numFmtId="0" fontId="24" fillId="0" borderId="0" xfId="106" applyFont="1" applyBorder="1" applyAlignment="1">
      <alignment horizontal="center" wrapText="1"/>
      <protection/>
    </xf>
    <xf numFmtId="0" fontId="24" fillId="0" borderId="30" xfId="106" applyFont="1" applyBorder="1" applyAlignment="1">
      <alignment horizontal="center" wrapText="1"/>
      <protection/>
    </xf>
    <xf numFmtId="0" fontId="24" fillId="0" borderId="31" xfId="106" applyFont="1" applyBorder="1" applyAlignment="1">
      <alignment horizontal="center" wrapText="1"/>
      <protection/>
    </xf>
    <xf numFmtId="0" fontId="23" fillId="0" borderId="0" xfId="106" applyFont="1" applyBorder="1" applyAlignment="1">
      <alignment horizontal="center" wrapText="1"/>
      <protection/>
    </xf>
    <xf numFmtId="0" fontId="24" fillId="0" borderId="28" xfId="106" applyFont="1" applyBorder="1" applyAlignment="1">
      <alignment horizontal="justify" wrapText="1"/>
      <protection/>
    </xf>
    <xf numFmtId="0" fontId="24" fillId="0" borderId="0" xfId="106" applyFont="1" applyAlignment="1">
      <alignment horizontal="center"/>
      <protection/>
    </xf>
    <xf numFmtId="0" fontId="23" fillId="55" borderId="24" xfId="106" applyFont="1" applyFill="1" applyBorder="1" applyAlignment="1">
      <alignment vertical="center" wrapText="1"/>
      <protection/>
    </xf>
    <xf numFmtId="0" fontId="23" fillId="0" borderId="28" xfId="106" applyFont="1" applyBorder="1" applyAlignment="1">
      <alignment horizontal="center" wrapText="1"/>
      <protection/>
    </xf>
    <xf numFmtId="0" fontId="24" fillId="0" borderId="32" xfId="106" applyFont="1" applyBorder="1" applyAlignment="1">
      <alignment wrapText="1"/>
      <protection/>
    </xf>
    <xf numFmtId="0" fontId="24" fillId="0" borderId="32" xfId="106" applyFont="1" applyBorder="1" applyAlignment="1">
      <alignment horizontal="center" wrapText="1"/>
      <protection/>
    </xf>
    <xf numFmtId="0" fontId="24" fillId="0" borderId="35" xfId="106" applyFont="1" applyBorder="1" applyAlignment="1">
      <alignment wrapText="1"/>
      <protection/>
    </xf>
    <xf numFmtId="0" fontId="24" fillId="0" borderId="35" xfId="106" applyFont="1" applyBorder="1" applyAlignment="1">
      <alignment horizontal="center" wrapText="1"/>
      <protection/>
    </xf>
    <xf numFmtId="0" fontId="24" fillId="0" borderId="33" xfId="106" applyFont="1" applyBorder="1" applyAlignment="1">
      <alignment wrapText="1"/>
      <protection/>
    </xf>
    <xf numFmtId="0" fontId="24" fillId="0" borderId="27" xfId="106" applyFont="1" applyBorder="1" applyAlignment="1">
      <alignment horizontal="center" wrapText="1"/>
      <protection/>
    </xf>
    <xf numFmtId="0" fontId="24" fillId="0" borderId="28" xfId="106" applyFont="1" applyBorder="1" applyAlignment="1">
      <alignment wrapText="1"/>
      <protection/>
    </xf>
    <xf numFmtId="0" fontId="24" fillId="0" borderId="28" xfId="106" applyFont="1" applyBorder="1" applyAlignment="1">
      <alignment horizontal="center" vertical="center" wrapText="1"/>
      <protection/>
    </xf>
    <xf numFmtId="0" fontId="24" fillId="0" borderId="0" xfId="106" applyFont="1" applyBorder="1" applyAlignment="1">
      <alignment horizontal="center" vertical="center" wrapText="1"/>
      <protection/>
    </xf>
    <xf numFmtId="1" fontId="24" fillId="0" borderId="28" xfId="106" applyNumberFormat="1" applyFont="1" applyBorder="1" applyAlignment="1">
      <alignment horizontal="center" vertical="center" wrapText="1"/>
      <protection/>
    </xf>
    <xf numFmtId="0" fontId="30" fillId="0" borderId="0" xfId="106" applyFont="1" applyAlignment="1">
      <alignment wrapText="1"/>
      <protection/>
    </xf>
    <xf numFmtId="0" fontId="23" fillId="55" borderId="33" xfId="106" applyFont="1" applyFill="1" applyBorder="1" applyAlignment="1">
      <alignment vertical="center" wrapText="1"/>
      <protection/>
    </xf>
    <xf numFmtId="0" fontId="23" fillId="55" borderId="23" xfId="106" applyFont="1" applyFill="1" applyBorder="1" applyAlignment="1">
      <alignment vertical="center" wrapText="1"/>
      <protection/>
    </xf>
    <xf numFmtId="2" fontId="24" fillId="0" borderId="28" xfId="106" applyNumberFormat="1" applyFont="1" applyBorder="1" applyAlignment="1">
      <alignment horizontal="center" vertical="center" wrapText="1"/>
      <protection/>
    </xf>
    <xf numFmtId="0" fontId="23" fillId="55" borderId="24" xfId="106" applyFont="1" applyFill="1" applyBorder="1" applyAlignment="1">
      <alignment vertical="justify" wrapText="1"/>
      <protection/>
    </xf>
    <xf numFmtId="0" fontId="23" fillId="55" borderId="0" xfId="106" applyFont="1" applyFill="1" applyBorder="1" applyAlignment="1">
      <alignment horizontal="center" wrapText="1"/>
      <protection/>
    </xf>
    <xf numFmtId="0" fontId="31" fillId="0" borderId="0" xfId="106" applyFont="1" applyBorder="1" applyAlignment="1">
      <alignment wrapText="1"/>
      <protection/>
    </xf>
    <xf numFmtId="0" fontId="24" fillId="0" borderId="28" xfId="106" applyFont="1" applyFill="1" applyBorder="1" applyAlignment="1">
      <alignment horizontal="center" vertical="center" wrapText="1"/>
      <protection/>
    </xf>
    <xf numFmtId="16" fontId="24" fillId="0" borderId="28" xfId="106" applyNumberFormat="1" applyFont="1" applyBorder="1" applyAlignment="1">
      <alignment horizontal="center" vertical="center" wrapText="1"/>
      <protection/>
    </xf>
    <xf numFmtId="0" fontId="23" fillId="55" borderId="27" xfId="106" applyFont="1" applyFill="1" applyBorder="1" applyAlignment="1">
      <alignment horizontal="center" wrapText="1"/>
      <protection/>
    </xf>
    <xf numFmtId="0" fontId="23" fillId="55" borderId="26" xfId="106" applyFont="1" applyFill="1" applyBorder="1" applyAlignment="1">
      <alignment horizontal="center" wrapText="1"/>
      <protection/>
    </xf>
    <xf numFmtId="0" fontId="23" fillId="55" borderId="34" xfId="106" applyFont="1" applyFill="1" applyBorder="1" applyAlignment="1">
      <alignment horizontal="center" wrapText="1"/>
      <protection/>
    </xf>
    <xf numFmtId="0" fontId="24" fillId="0" borderId="31" xfId="106" applyFont="1" applyBorder="1" applyAlignment="1">
      <alignment horizontal="center" vertical="center" wrapText="1"/>
      <protection/>
    </xf>
    <xf numFmtId="1" fontId="24" fillId="0" borderId="31" xfId="106" applyNumberFormat="1" applyFont="1" applyBorder="1" applyAlignment="1">
      <alignment horizontal="center" vertical="center" wrapText="1"/>
      <protection/>
    </xf>
    <xf numFmtId="0" fontId="24" fillId="0" borderId="0" xfId="106" applyFont="1" applyAlignment="1">
      <alignment horizontal="left"/>
      <protection/>
    </xf>
    <xf numFmtId="0" fontId="6" fillId="0" borderId="0" xfId="106" applyFont="1">
      <alignment/>
      <protection/>
    </xf>
    <xf numFmtId="0" fontId="6" fillId="0" borderId="0" xfId="100" applyFont="1">
      <alignment/>
      <protection/>
    </xf>
    <xf numFmtId="49" fontId="24" fillId="0" borderId="28" xfId="100" applyNumberFormat="1" applyFont="1" applyBorder="1" applyAlignment="1">
      <alignment horizontal="center" vertical="center" wrapText="1"/>
      <protection/>
    </xf>
    <xf numFmtId="49" fontId="24" fillId="0" borderId="20" xfId="100" applyNumberFormat="1" applyFont="1" applyBorder="1" applyAlignment="1">
      <alignment horizontal="center" wrapText="1"/>
      <protection/>
    </xf>
    <xf numFmtId="2" fontId="24" fillId="0" borderId="28" xfId="100" applyNumberFormat="1" applyFont="1" applyFill="1" applyBorder="1" applyAlignment="1">
      <alignment horizontal="center" wrapText="1"/>
      <protection/>
    </xf>
    <xf numFmtId="2" fontId="24" fillId="0" borderId="28" xfId="100" applyNumberFormat="1" applyFont="1" applyFill="1" applyBorder="1" applyAlignment="1">
      <alignment horizontal="center" vertical="center" wrapText="1"/>
      <protection/>
    </xf>
    <xf numFmtId="2" fontId="24" fillId="0" borderId="28" xfId="0" applyNumberFormat="1" applyFont="1" applyBorder="1" applyAlignment="1">
      <alignment horizontal="center" wrapText="1"/>
    </xf>
    <xf numFmtId="1" fontId="24" fillId="0" borderId="28" xfId="97" applyNumberFormat="1" applyFont="1" applyFill="1" applyBorder="1" applyAlignment="1">
      <alignment horizontal="center" vertical="center" wrapText="1"/>
      <protection/>
    </xf>
    <xf numFmtId="2" fontId="24" fillId="0" borderId="28" xfId="97" applyNumberFormat="1" applyFont="1" applyFill="1" applyBorder="1" applyAlignment="1">
      <alignment horizontal="center" vertical="center" wrapText="1"/>
      <protection/>
    </xf>
    <xf numFmtId="0" fontId="20" fillId="0" borderId="0" xfId="101" applyFont="1">
      <alignment/>
      <protection/>
    </xf>
    <xf numFmtId="0" fontId="6" fillId="0" borderId="0" xfId="101">
      <alignment/>
      <protection/>
    </xf>
    <xf numFmtId="0" fontId="21" fillId="0" borderId="0" xfId="101" applyFont="1">
      <alignment/>
      <protection/>
    </xf>
    <xf numFmtId="0" fontId="23" fillId="0" borderId="0" xfId="101" applyFont="1">
      <alignment/>
      <protection/>
    </xf>
    <xf numFmtId="0" fontId="24" fillId="0" borderId="19" xfId="101" applyFont="1" applyBorder="1" applyAlignment="1">
      <alignment horizontal="center" wrapText="1"/>
      <protection/>
    </xf>
    <xf numFmtId="0" fontId="24" fillId="0" borderId="20" xfId="101" applyFont="1" applyBorder="1" applyAlignment="1">
      <alignment horizontal="justify" wrapText="1"/>
      <protection/>
    </xf>
    <xf numFmtId="0" fontId="24" fillId="0" borderId="20" xfId="101" applyFont="1" applyBorder="1" applyAlignment="1">
      <alignment horizontal="center" wrapText="1"/>
      <protection/>
    </xf>
    <xf numFmtId="0" fontId="25" fillId="0" borderId="0" xfId="101" applyFont="1">
      <alignment/>
      <protection/>
    </xf>
    <xf numFmtId="0" fontId="27" fillId="0" borderId="20" xfId="101" applyFont="1" applyBorder="1" applyAlignment="1">
      <alignment horizontal="left" wrapText="1"/>
      <protection/>
    </xf>
    <xf numFmtId="0" fontId="27" fillId="0" borderId="36" xfId="101" applyFont="1" applyBorder="1" applyAlignment="1">
      <alignment wrapText="1"/>
      <protection/>
    </xf>
    <xf numFmtId="0" fontId="27" fillId="0" borderId="37" xfId="101" applyFont="1" applyBorder="1" applyAlignment="1">
      <alignment horizontal="center" wrapText="1"/>
      <protection/>
    </xf>
    <xf numFmtId="0" fontId="24" fillId="0" borderId="28" xfId="101" applyFont="1" applyBorder="1" applyAlignment="1">
      <alignment vertical="top" wrapText="1"/>
      <protection/>
    </xf>
    <xf numFmtId="0" fontId="24" fillId="0" borderId="0" xfId="101" applyFont="1">
      <alignment/>
      <protection/>
    </xf>
    <xf numFmtId="0" fontId="23" fillId="55" borderId="23" xfId="101" applyFont="1" applyFill="1" applyBorder="1" applyAlignment="1">
      <alignment horizontal="center" wrapText="1"/>
      <protection/>
    </xf>
    <xf numFmtId="0" fontId="23" fillId="55" borderId="24" xfId="101" applyFont="1" applyFill="1" applyBorder="1" applyAlignment="1">
      <alignment horizontal="center" wrapText="1"/>
      <protection/>
    </xf>
    <xf numFmtId="0" fontId="23" fillId="55" borderId="25" xfId="101" applyFont="1" applyFill="1" applyBorder="1" applyAlignment="1">
      <alignment horizontal="center" wrapText="1"/>
      <protection/>
    </xf>
    <xf numFmtId="0" fontId="23" fillId="55" borderId="22" xfId="101" applyFont="1" applyFill="1" applyBorder="1" applyAlignment="1">
      <alignment horizontal="center" wrapText="1"/>
      <protection/>
    </xf>
    <xf numFmtId="0" fontId="23" fillId="0" borderId="31" xfId="101" applyFont="1" applyBorder="1" applyAlignment="1">
      <alignment horizontal="center" wrapText="1"/>
      <protection/>
    </xf>
    <xf numFmtId="0" fontId="24" fillId="0" borderId="28" xfId="101" applyFont="1" applyBorder="1" applyAlignment="1">
      <alignment horizontal="center" wrapText="1"/>
      <protection/>
    </xf>
    <xf numFmtId="49" fontId="24" fillId="0" borderId="28" xfId="101" applyNumberFormat="1" applyFont="1" applyBorder="1" applyAlignment="1">
      <alignment horizontal="center" wrapText="1"/>
      <protection/>
    </xf>
    <xf numFmtId="2" fontId="24" fillId="0" borderId="28" xfId="101" applyNumberFormat="1" applyFont="1" applyBorder="1" applyAlignment="1">
      <alignment horizontal="center" wrapText="1"/>
      <protection/>
    </xf>
    <xf numFmtId="1" fontId="24" fillId="0" borderId="28" xfId="101" applyNumberFormat="1" applyFont="1" applyBorder="1" applyAlignment="1">
      <alignment horizontal="center" wrapText="1"/>
      <protection/>
    </xf>
    <xf numFmtId="0" fontId="24" fillId="0" borderId="0" xfId="101" applyFont="1" applyBorder="1" applyAlignment="1">
      <alignment wrapText="1"/>
      <protection/>
    </xf>
    <xf numFmtId="0" fontId="24" fillId="0" borderId="29" xfId="101" applyFont="1" applyBorder="1" applyAlignment="1">
      <alignment horizontal="center" wrapText="1"/>
      <protection/>
    </xf>
    <xf numFmtId="0" fontId="24" fillId="0" borderId="0" xfId="101" applyFont="1" applyBorder="1" applyAlignment="1">
      <alignment horizontal="center" wrapText="1"/>
      <protection/>
    </xf>
    <xf numFmtId="0" fontId="24" fillId="0" borderId="38" xfId="101" applyFont="1" applyBorder="1" applyAlignment="1">
      <alignment horizontal="left" wrapText="1"/>
      <protection/>
    </xf>
    <xf numFmtId="0" fontId="24" fillId="0" borderId="39" xfId="101" applyFont="1" applyBorder="1" applyAlignment="1">
      <alignment horizontal="left" wrapText="1"/>
      <protection/>
    </xf>
    <xf numFmtId="0" fontId="24" fillId="0" borderId="30" xfId="101" applyFont="1" applyBorder="1" applyAlignment="1">
      <alignment horizontal="center" wrapText="1"/>
      <protection/>
    </xf>
    <xf numFmtId="0" fontId="24" fillId="0" borderId="40" xfId="101" applyFont="1" applyBorder="1">
      <alignment/>
      <protection/>
    </xf>
    <xf numFmtId="0" fontId="24" fillId="0" borderId="41" xfId="101" applyFont="1" applyBorder="1">
      <alignment/>
      <protection/>
    </xf>
    <xf numFmtId="0" fontId="24" fillId="0" borderId="31" xfId="101" applyFont="1" applyBorder="1" applyAlignment="1">
      <alignment horizontal="center" wrapText="1"/>
      <protection/>
    </xf>
    <xf numFmtId="1" fontId="24" fillId="0" borderId="29" xfId="101" applyNumberFormat="1" applyFont="1" applyBorder="1" applyAlignment="1">
      <alignment horizontal="center" wrapText="1"/>
      <protection/>
    </xf>
    <xf numFmtId="0" fontId="23" fillId="0" borderId="25" xfId="101" applyFont="1" applyBorder="1" applyAlignment="1">
      <alignment horizontal="center" wrapText="1"/>
      <protection/>
    </xf>
    <xf numFmtId="0" fontId="23" fillId="0" borderId="35" xfId="101" applyFont="1" applyBorder="1" applyAlignment="1">
      <alignment horizontal="center" wrapText="1"/>
      <protection/>
    </xf>
    <xf numFmtId="0" fontId="24" fillId="0" borderId="28" xfId="101" applyFont="1" applyBorder="1" applyAlignment="1">
      <alignment horizontal="justify" wrapText="1"/>
      <protection/>
    </xf>
    <xf numFmtId="0" fontId="24" fillId="0" borderId="42" xfId="101" applyFont="1" applyBorder="1" applyAlignment="1">
      <alignment horizontal="justify" wrapText="1"/>
      <protection/>
    </xf>
    <xf numFmtId="0" fontId="24" fillId="0" borderId="0" xfId="101" applyFont="1" applyAlignment="1">
      <alignment horizontal="center"/>
      <protection/>
    </xf>
    <xf numFmtId="0" fontId="23" fillId="55" borderId="19" xfId="101" applyFont="1" applyFill="1" applyBorder="1" applyAlignment="1">
      <alignment vertical="center" wrapText="1"/>
      <protection/>
    </xf>
    <xf numFmtId="0" fontId="23" fillId="55" borderId="19" xfId="101" applyFont="1" applyFill="1" applyBorder="1" applyAlignment="1">
      <alignment horizontal="center" wrapText="1"/>
      <protection/>
    </xf>
    <xf numFmtId="1" fontId="24" fillId="0" borderId="31" xfId="101" applyNumberFormat="1" applyFont="1" applyBorder="1" applyAlignment="1">
      <alignment horizontal="center" wrapText="1"/>
      <protection/>
    </xf>
    <xf numFmtId="1" fontId="6" fillId="0" borderId="0" xfId="101" applyNumberFormat="1">
      <alignment/>
      <protection/>
    </xf>
    <xf numFmtId="0" fontId="23" fillId="0" borderId="28" xfId="101" applyFont="1" applyBorder="1" applyAlignment="1">
      <alignment horizontal="center" wrapText="1"/>
      <protection/>
    </xf>
    <xf numFmtId="0" fontId="23" fillId="55" borderId="24" xfId="101" applyFont="1" applyFill="1" applyBorder="1" applyAlignment="1">
      <alignment vertical="center" wrapText="1"/>
      <protection/>
    </xf>
    <xf numFmtId="0" fontId="24" fillId="0" borderId="32" xfId="101" applyFont="1" applyBorder="1" applyAlignment="1">
      <alignment wrapText="1"/>
      <protection/>
    </xf>
    <xf numFmtId="0" fontId="24" fillId="0" borderId="32" xfId="101" applyFont="1" applyBorder="1" applyAlignment="1">
      <alignment horizontal="center" wrapText="1"/>
      <protection/>
    </xf>
    <xf numFmtId="0" fontId="24" fillId="0" borderId="0" xfId="101" applyFont="1" applyBorder="1" applyAlignment="1">
      <alignment horizontal="justify" wrapText="1"/>
      <protection/>
    </xf>
    <xf numFmtId="0" fontId="24" fillId="0" borderId="28" xfId="101" applyFont="1" applyBorder="1" applyAlignment="1">
      <alignment wrapText="1"/>
      <protection/>
    </xf>
    <xf numFmtId="0" fontId="24" fillId="0" borderId="28" xfId="101" applyFont="1" applyBorder="1" applyAlignment="1">
      <alignment horizontal="center" vertical="center" wrapText="1"/>
      <protection/>
    </xf>
    <xf numFmtId="1" fontId="24" fillId="0" borderId="28" xfId="101" applyNumberFormat="1" applyFont="1" applyBorder="1" applyAlignment="1">
      <alignment horizontal="center" vertical="center" wrapText="1"/>
      <protection/>
    </xf>
    <xf numFmtId="0" fontId="32" fillId="0" borderId="0" xfId="101" applyFont="1" applyBorder="1" applyAlignment="1">
      <alignment horizontal="center"/>
      <protection/>
    </xf>
    <xf numFmtId="0" fontId="24" fillId="0" borderId="28" xfId="101" applyFont="1" applyFill="1" applyBorder="1" applyAlignment="1">
      <alignment horizontal="center" vertical="center" wrapText="1"/>
      <protection/>
    </xf>
    <xf numFmtId="2" fontId="24" fillId="0" borderId="28" xfId="101" applyNumberFormat="1" applyFont="1" applyBorder="1" applyAlignment="1">
      <alignment horizontal="center" vertical="center" wrapText="1"/>
      <protection/>
    </xf>
    <xf numFmtId="0" fontId="24" fillId="0" borderId="0" xfId="101" applyFont="1" applyBorder="1" applyAlignment="1">
      <alignment horizontal="center" vertical="center" wrapText="1"/>
      <protection/>
    </xf>
    <xf numFmtId="1" fontId="24" fillId="0" borderId="0" xfId="101" applyNumberFormat="1" applyFont="1" applyBorder="1" applyAlignment="1">
      <alignment horizontal="center" vertical="center" wrapText="1"/>
      <protection/>
    </xf>
    <xf numFmtId="0" fontId="30" fillId="0" borderId="0" xfId="101" applyFont="1" applyAlignment="1">
      <alignment wrapText="1"/>
      <protection/>
    </xf>
    <xf numFmtId="0" fontId="23" fillId="55" borderId="43" xfId="101" applyFont="1" applyFill="1" applyBorder="1" applyAlignment="1">
      <alignment vertical="center" wrapText="1"/>
      <protection/>
    </xf>
    <xf numFmtId="0" fontId="23" fillId="55" borderId="20" xfId="101" applyFont="1" applyFill="1" applyBorder="1" applyAlignment="1">
      <alignment vertical="center" wrapText="1"/>
      <protection/>
    </xf>
    <xf numFmtId="0" fontId="23" fillId="55" borderId="20" xfId="101" applyFont="1" applyFill="1" applyBorder="1" applyAlignment="1">
      <alignment horizontal="center" wrapText="1"/>
      <protection/>
    </xf>
    <xf numFmtId="0" fontId="24" fillId="0" borderId="31" xfId="101" applyFont="1" applyBorder="1" applyAlignment="1">
      <alignment horizontal="center" vertical="center" wrapText="1"/>
      <protection/>
    </xf>
    <xf numFmtId="0" fontId="23" fillId="0" borderId="28" xfId="101" applyFont="1" applyBorder="1">
      <alignment/>
      <protection/>
    </xf>
    <xf numFmtId="0" fontId="23" fillId="55" borderId="19" xfId="101" applyFont="1" applyFill="1" applyBorder="1" applyAlignment="1">
      <alignment vertical="justify" wrapText="1"/>
      <protection/>
    </xf>
    <xf numFmtId="0" fontId="23" fillId="55" borderId="0" xfId="101" applyFont="1" applyFill="1" applyBorder="1" applyAlignment="1">
      <alignment horizontal="center" wrapText="1"/>
      <protection/>
    </xf>
    <xf numFmtId="0" fontId="31" fillId="0" borderId="0" xfId="101" applyFont="1" applyBorder="1" applyAlignment="1">
      <alignment wrapText="1"/>
      <protection/>
    </xf>
    <xf numFmtId="16" fontId="24" fillId="0" borderId="28" xfId="101" applyNumberFormat="1" applyFont="1" applyBorder="1" applyAlignment="1">
      <alignment horizontal="center" vertical="center" wrapText="1"/>
      <protection/>
    </xf>
    <xf numFmtId="2" fontId="24" fillId="0" borderId="28" xfId="101" applyNumberFormat="1" applyFont="1" applyFill="1" applyBorder="1" applyAlignment="1">
      <alignment horizontal="center" vertical="center" wrapText="1"/>
      <protection/>
    </xf>
    <xf numFmtId="49" fontId="24" fillId="0" borderId="28" xfId="101" applyNumberFormat="1" applyFont="1" applyBorder="1" applyAlignment="1">
      <alignment horizontal="center" vertical="center" wrapText="1"/>
      <protection/>
    </xf>
    <xf numFmtId="2" fontId="24" fillId="0" borderId="31" xfId="101" applyNumberFormat="1" applyFont="1" applyFill="1" applyBorder="1" applyAlignment="1">
      <alignment horizontal="center" vertical="center" wrapText="1"/>
      <protection/>
    </xf>
    <xf numFmtId="1" fontId="24" fillId="0" borderId="31" xfId="101" applyNumberFormat="1" applyFont="1" applyFill="1" applyBorder="1" applyAlignment="1">
      <alignment horizontal="center" vertical="center" wrapText="1"/>
      <protection/>
    </xf>
    <xf numFmtId="0" fontId="6" fillId="0" borderId="0" xfId="101" applyFill="1">
      <alignment/>
      <protection/>
    </xf>
    <xf numFmtId="1" fontId="24" fillId="0" borderId="31" xfId="101" applyNumberFormat="1" applyFont="1" applyBorder="1" applyAlignment="1">
      <alignment horizontal="center" vertical="center" wrapText="1"/>
      <protection/>
    </xf>
    <xf numFmtId="175" fontId="24" fillId="0" borderId="28" xfId="101" applyNumberFormat="1" applyFont="1" applyBorder="1" applyAlignment="1">
      <alignment horizontal="center" vertical="center" wrapText="1"/>
      <protection/>
    </xf>
    <xf numFmtId="2" fontId="6" fillId="0" borderId="0" xfId="101" applyNumberFormat="1">
      <alignment/>
      <protection/>
    </xf>
    <xf numFmtId="0" fontId="24" fillId="0" borderId="0" xfId="101" applyFont="1" applyAlignment="1">
      <alignment horizontal="left"/>
      <protection/>
    </xf>
    <xf numFmtId="2" fontId="24" fillId="0" borderId="28" xfId="96" applyNumberFormat="1" applyFont="1" applyBorder="1" applyAlignment="1">
      <alignment horizontal="center" wrapText="1"/>
      <protection/>
    </xf>
    <xf numFmtId="1" fontId="24" fillId="0" borderId="28" xfId="96" applyNumberFormat="1" applyFont="1" applyBorder="1" applyAlignment="1">
      <alignment horizontal="center" wrapText="1"/>
      <protection/>
    </xf>
    <xf numFmtId="0" fontId="6" fillId="0" borderId="0" xfId="96">
      <alignment/>
      <protection/>
    </xf>
    <xf numFmtId="0" fontId="6" fillId="0" borderId="0" xfId="96" applyFont="1">
      <alignment/>
      <protection/>
    </xf>
    <xf numFmtId="0" fontId="24" fillId="0" borderId="28" xfId="105" applyFont="1" applyBorder="1" applyAlignment="1">
      <alignment horizontal="center" wrapText="1"/>
      <protection/>
    </xf>
    <xf numFmtId="0" fontId="24" fillId="0" borderId="28" xfId="105" applyFont="1" applyFill="1" applyBorder="1" applyAlignment="1">
      <alignment horizontal="center" vertical="center" wrapText="1"/>
      <protection/>
    </xf>
    <xf numFmtId="0" fontId="24" fillId="0" borderId="28" xfId="105" applyFont="1" applyBorder="1" applyAlignment="1">
      <alignment horizontal="center" vertical="center" wrapText="1"/>
      <protection/>
    </xf>
    <xf numFmtId="2" fontId="24" fillId="0" borderId="28" xfId="104" applyNumberFormat="1" applyFont="1" applyBorder="1" applyAlignment="1">
      <alignment horizontal="center" vertical="center" wrapText="1"/>
      <protection/>
    </xf>
    <xf numFmtId="1" fontId="24" fillId="0" borderId="28" xfId="104" applyNumberFormat="1" applyFont="1" applyBorder="1" applyAlignment="1">
      <alignment horizontal="center" vertical="center" wrapText="1"/>
      <protection/>
    </xf>
    <xf numFmtId="0" fontId="6" fillId="0" borderId="0" xfId="104">
      <alignment/>
      <protection/>
    </xf>
    <xf numFmtId="0" fontId="6" fillId="0" borderId="0" xfId="101" applyFont="1">
      <alignment/>
      <protection/>
    </xf>
    <xf numFmtId="0" fontId="24" fillId="0" borderId="31" xfId="101" applyFont="1" applyBorder="1" applyAlignment="1">
      <alignment horizontal="justify" wrapText="1"/>
      <protection/>
    </xf>
    <xf numFmtId="0" fontId="32" fillId="0" borderId="28" xfId="101" applyFont="1" applyBorder="1" applyAlignment="1">
      <alignment horizontal="center"/>
      <protection/>
    </xf>
    <xf numFmtId="0" fontId="24" fillId="0" borderId="28" xfId="101" applyFont="1" applyBorder="1" applyAlignment="1">
      <alignment vertical="center" wrapText="1"/>
      <protection/>
    </xf>
    <xf numFmtId="49" fontId="24" fillId="0" borderId="28" xfId="101" applyNumberFormat="1" applyFont="1" applyFill="1" applyBorder="1" applyAlignment="1">
      <alignment horizontal="center" vertical="center" wrapText="1"/>
      <protection/>
    </xf>
    <xf numFmtId="0" fontId="0" fillId="0" borderId="42" xfId="101" applyFont="1" applyBorder="1" applyAlignment="1">
      <alignment horizontal="center"/>
      <protection/>
    </xf>
    <xf numFmtId="0" fontId="33" fillId="0" borderId="42" xfId="101" applyFont="1" applyBorder="1" applyAlignment="1">
      <alignment horizontal="center"/>
      <protection/>
    </xf>
    <xf numFmtId="0" fontId="33" fillId="0" borderId="28" xfId="101" applyFont="1" applyBorder="1" applyAlignment="1">
      <alignment horizontal="center"/>
      <protection/>
    </xf>
    <xf numFmtId="2" fontId="24" fillId="0" borderId="31" xfId="101" applyNumberFormat="1" applyFont="1" applyBorder="1" applyAlignment="1">
      <alignment horizontal="center" vertical="center" wrapText="1"/>
      <protection/>
    </xf>
    <xf numFmtId="1" fontId="24" fillId="0" borderId="28" xfId="101" applyNumberFormat="1" applyFont="1" applyFill="1" applyBorder="1" applyAlignment="1">
      <alignment horizontal="center" wrapText="1"/>
      <protection/>
    </xf>
    <xf numFmtId="0" fontId="0" fillId="0" borderId="0" xfId="101" applyFont="1" applyBorder="1" applyAlignment="1">
      <alignment horizontal="center"/>
      <protection/>
    </xf>
    <xf numFmtId="0" fontId="33" fillId="0" borderId="0" xfId="101" applyFont="1" applyBorder="1" applyAlignment="1">
      <alignment horizontal="center"/>
      <protection/>
    </xf>
    <xf numFmtId="175" fontId="24" fillId="0" borderId="28" xfId="101" applyNumberFormat="1" applyFont="1" applyBorder="1" applyAlignment="1">
      <alignment horizontal="center"/>
      <protection/>
    </xf>
    <xf numFmtId="0" fontId="24" fillId="0" borderId="28" xfId="101" applyFont="1" applyFill="1" applyBorder="1" applyAlignment="1">
      <alignment horizontal="justify" wrapText="1"/>
      <protection/>
    </xf>
    <xf numFmtId="2" fontId="24" fillId="53" borderId="28" xfId="101" applyNumberFormat="1" applyFont="1" applyFill="1" applyBorder="1" applyAlignment="1">
      <alignment horizontal="center" wrapText="1"/>
      <protection/>
    </xf>
    <xf numFmtId="0" fontId="34" fillId="0" borderId="28" xfId="101" applyFont="1" applyBorder="1" applyAlignment="1">
      <alignment horizontal="center" vertical="center" wrapText="1"/>
      <protection/>
    </xf>
    <xf numFmtId="175" fontId="24" fillId="0" borderId="28" xfId="100" applyNumberFormat="1" applyFont="1" applyFill="1" applyBorder="1" applyAlignment="1">
      <alignment horizontal="center" vertical="center" wrapText="1"/>
      <protection/>
    </xf>
    <xf numFmtId="1" fontId="24" fillId="0" borderId="28" xfId="100" applyNumberFormat="1" applyFont="1" applyFill="1" applyBorder="1" applyAlignment="1">
      <alignment horizontal="center" vertical="center" wrapText="1"/>
      <protection/>
    </xf>
    <xf numFmtId="0" fontId="24" fillId="0" borderId="31" xfId="101" applyFont="1" applyFill="1" applyBorder="1" applyAlignment="1">
      <alignment horizontal="center" vertical="center" wrapText="1"/>
      <protection/>
    </xf>
    <xf numFmtId="0" fontId="6" fillId="0" borderId="0" xfId="103">
      <alignment/>
      <protection/>
    </xf>
    <xf numFmtId="0" fontId="23" fillId="0" borderId="0" xfId="103" applyFont="1">
      <alignment/>
      <protection/>
    </xf>
    <xf numFmtId="0" fontId="24" fillId="0" borderId="19" xfId="103" applyFont="1" applyBorder="1" applyAlignment="1">
      <alignment horizontal="center" wrapText="1"/>
      <protection/>
    </xf>
    <xf numFmtId="0" fontId="24" fillId="0" borderId="20" xfId="103" applyFont="1" applyBorder="1" applyAlignment="1">
      <alignment horizontal="justify" wrapText="1"/>
      <protection/>
    </xf>
    <xf numFmtId="0" fontId="24" fillId="0" borderId="20" xfId="103" applyFont="1" applyBorder="1" applyAlignment="1">
      <alignment horizontal="center" wrapText="1"/>
      <protection/>
    </xf>
    <xf numFmtId="0" fontId="25" fillId="0" borderId="0" xfId="103" applyFont="1">
      <alignment/>
      <protection/>
    </xf>
    <xf numFmtId="0" fontId="27" fillId="0" borderId="20" xfId="103" applyFont="1" applyBorder="1" applyAlignment="1">
      <alignment horizontal="left" wrapText="1"/>
      <protection/>
    </xf>
    <xf numFmtId="0" fontId="24" fillId="0" borderId="19" xfId="103" applyFont="1" applyBorder="1" applyAlignment="1">
      <alignment vertical="top" wrapText="1"/>
      <protection/>
    </xf>
    <xf numFmtId="0" fontId="24" fillId="0" borderId="21" xfId="103" applyFont="1" applyBorder="1" applyAlignment="1">
      <alignment vertical="top" wrapText="1"/>
      <protection/>
    </xf>
    <xf numFmtId="0" fontId="24" fillId="0" borderId="22" xfId="103" applyFont="1" applyBorder="1" applyAlignment="1">
      <alignment vertical="top" wrapText="1"/>
      <protection/>
    </xf>
    <xf numFmtId="0" fontId="24" fillId="0" borderId="0" xfId="103" applyFont="1">
      <alignment/>
      <protection/>
    </xf>
    <xf numFmtId="0" fontId="23" fillId="55" borderId="23" xfId="103" applyFont="1" applyFill="1" applyBorder="1" applyAlignment="1">
      <alignment horizontal="center" wrapText="1"/>
      <protection/>
    </xf>
    <xf numFmtId="0" fontId="23" fillId="55" borderId="24" xfId="103" applyFont="1" applyFill="1" applyBorder="1" applyAlignment="1">
      <alignment horizontal="center" wrapText="1"/>
      <protection/>
    </xf>
    <xf numFmtId="0" fontId="23" fillId="55" borderId="25" xfId="103" applyFont="1" applyFill="1" applyBorder="1" applyAlignment="1">
      <alignment horizontal="center" wrapText="1"/>
      <protection/>
    </xf>
    <xf numFmtId="0" fontId="23" fillId="55" borderId="22" xfId="103" applyFont="1" applyFill="1" applyBorder="1" applyAlignment="1">
      <alignment horizontal="center" wrapText="1"/>
      <protection/>
    </xf>
    <xf numFmtId="0" fontId="24" fillId="0" borderId="26" xfId="103" applyFont="1" applyBorder="1" applyAlignment="1">
      <alignment horizontal="center" wrapText="1"/>
      <protection/>
    </xf>
    <xf numFmtId="0" fontId="24" fillId="0" borderId="26" xfId="103" applyFont="1" applyBorder="1" applyAlignment="1">
      <alignment wrapText="1"/>
      <protection/>
    </xf>
    <xf numFmtId="0" fontId="24" fillId="0" borderId="0" xfId="103" applyFont="1" applyAlignment="1">
      <alignment horizontal="center"/>
      <protection/>
    </xf>
    <xf numFmtId="0" fontId="23" fillId="55" borderId="24" xfId="103" applyFont="1" applyFill="1" applyBorder="1" applyAlignment="1">
      <alignment vertical="center" wrapText="1"/>
      <protection/>
    </xf>
    <xf numFmtId="0" fontId="24" fillId="0" borderId="32" xfId="103" applyFont="1" applyBorder="1" applyAlignment="1">
      <alignment wrapText="1"/>
      <protection/>
    </xf>
    <xf numFmtId="0" fontId="24" fillId="0" borderId="32" xfId="103" applyFont="1" applyBorder="1" applyAlignment="1">
      <alignment horizontal="center" wrapText="1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3" applyFont="1" applyBorder="1" applyAlignment="1">
      <alignment wrapText="1"/>
      <protection/>
    </xf>
    <xf numFmtId="0" fontId="28" fillId="0" borderId="0" xfId="103" applyFont="1" applyBorder="1" applyAlignment="1">
      <alignment horizontal="left" wrapText="1"/>
      <protection/>
    </xf>
    <xf numFmtId="0" fontId="24" fillId="0" borderId="0" xfId="103" applyFont="1" applyBorder="1" applyAlignment="1">
      <alignment horizontal="center" wrapText="1"/>
      <protection/>
    </xf>
    <xf numFmtId="0" fontId="30" fillId="0" borderId="0" xfId="103" applyFont="1" applyAlignment="1">
      <alignment wrapText="1"/>
      <protection/>
    </xf>
    <xf numFmtId="0" fontId="23" fillId="55" borderId="0" xfId="103" applyFont="1" applyFill="1" applyBorder="1" applyAlignment="1">
      <alignment horizontal="center" wrapText="1"/>
      <protection/>
    </xf>
    <xf numFmtId="0" fontId="31" fillId="0" borderId="0" xfId="103" applyFont="1" applyBorder="1" applyAlignment="1">
      <alignment wrapText="1"/>
      <protection/>
    </xf>
    <xf numFmtId="0" fontId="23" fillId="55" borderId="33" xfId="103" applyFont="1" applyFill="1" applyBorder="1" applyAlignment="1">
      <alignment vertical="center" wrapText="1"/>
      <protection/>
    </xf>
    <xf numFmtId="0" fontId="23" fillId="55" borderId="23" xfId="103" applyFont="1" applyFill="1" applyBorder="1" applyAlignment="1">
      <alignment vertical="center" wrapText="1"/>
      <protection/>
    </xf>
    <xf numFmtId="0" fontId="24" fillId="0" borderId="0" xfId="103" applyFont="1" applyAlignment="1">
      <alignment horizontal="left"/>
      <protection/>
    </xf>
    <xf numFmtId="0" fontId="20" fillId="0" borderId="0" xfId="98" applyFont="1">
      <alignment/>
      <protection/>
    </xf>
    <xf numFmtId="0" fontId="6" fillId="0" borderId="0" xfId="98">
      <alignment/>
      <protection/>
    </xf>
    <xf numFmtId="0" fontId="23" fillId="0" borderId="0" xfId="98" applyFont="1">
      <alignment/>
      <protection/>
    </xf>
    <xf numFmtId="0" fontId="24" fillId="0" borderId="19" xfId="98" applyFont="1" applyBorder="1" applyAlignment="1">
      <alignment horizontal="center" wrapText="1"/>
      <protection/>
    </xf>
    <xf numFmtId="0" fontId="24" fillId="0" borderId="20" xfId="98" applyFont="1" applyBorder="1" applyAlignment="1">
      <alignment horizontal="justify" wrapText="1"/>
      <protection/>
    </xf>
    <xf numFmtId="0" fontId="24" fillId="0" borderId="20" xfId="98" applyFont="1" applyBorder="1" applyAlignment="1">
      <alignment horizontal="center" wrapText="1"/>
      <protection/>
    </xf>
    <xf numFmtId="0" fontId="25" fillId="0" borderId="0" xfId="98" applyFont="1">
      <alignment/>
      <protection/>
    </xf>
    <xf numFmtId="0" fontId="27" fillId="0" borderId="20" xfId="98" applyFont="1" applyBorder="1" applyAlignment="1">
      <alignment horizontal="left" wrapText="1"/>
      <protection/>
    </xf>
    <xf numFmtId="0" fontId="24" fillId="0" borderId="19" xfId="98" applyFont="1" applyBorder="1" applyAlignment="1">
      <alignment vertical="top" wrapText="1"/>
      <protection/>
    </xf>
    <xf numFmtId="0" fontId="24" fillId="0" borderId="21" xfId="98" applyFont="1" applyBorder="1" applyAlignment="1">
      <alignment vertical="top" wrapText="1"/>
      <protection/>
    </xf>
    <xf numFmtId="0" fontId="24" fillId="0" borderId="22" xfId="98" applyFont="1" applyBorder="1" applyAlignment="1">
      <alignment vertical="top" wrapText="1"/>
      <protection/>
    </xf>
    <xf numFmtId="0" fontId="24" fillId="0" borderId="0" xfId="98" applyFont="1">
      <alignment/>
      <protection/>
    </xf>
    <xf numFmtId="0" fontId="23" fillId="55" borderId="23" xfId="98" applyFont="1" applyFill="1" applyBorder="1" applyAlignment="1">
      <alignment horizontal="center" wrapText="1"/>
      <protection/>
    </xf>
    <xf numFmtId="0" fontId="23" fillId="55" borderId="24" xfId="98" applyFont="1" applyFill="1" applyBorder="1" applyAlignment="1">
      <alignment horizontal="center" wrapText="1"/>
      <protection/>
    </xf>
    <xf numFmtId="0" fontId="23" fillId="55" borderId="25" xfId="98" applyFont="1" applyFill="1" applyBorder="1" applyAlignment="1">
      <alignment horizontal="center" wrapText="1"/>
      <protection/>
    </xf>
    <xf numFmtId="0" fontId="23" fillId="55" borderId="22" xfId="98" applyFont="1" applyFill="1" applyBorder="1" applyAlignment="1">
      <alignment horizontal="center" wrapText="1"/>
      <protection/>
    </xf>
    <xf numFmtId="0" fontId="24" fillId="0" borderId="26" xfId="98" applyFont="1" applyBorder="1" applyAlignment="1">
      <alignment horizontal="center" wrapText="1"/>
      <protection/>
    </xf>
    <xf numFmtId="0" fontId="24" fillId="0" borderId="26" xfId="98" applyFont="1" applyBorder="1" applyAlignment="1">
      <alignment wrapText="1"/>
      <protection/>
    </xf>
    <xf numFmtId="0" fontId="24" fillId="0" borderId="0" xfId="98" applyFont="1" applyAlignment="1">
      <alignment horizontal="center"/>
      <protection/>
    </xf>
    <xf numFmtId="0" fontId="23" fillId="55" borderId="24" xfId="98" applyFont="1" applyFill="1" applyBorder="1" applyAlignment="1">
      <alignment vertical="center" wrapText="1"/>
      <protection/>
    </xf>
    <xf numFmtId="0" fontId="24" fillId="0" borderId="32" xfId="98" applyFont="1" applyBorder="1" applyAlignment="1">
      <alignment wrapText="1"/>
      <protection/>
    </xf>
    <xf numFmtId="0" fontId="24" fillId="0" borderId="32" xfId="98" applyFont="1" applyBorder="1" applyAlignment="1">
      <alignment horizontal="center" wrapText="1"/>
      <protection/>
    </xf>
    <xf numFmtId="0" fontId="24" fillId="0" borderId="0" xfId="98" applyFont="1" applyBorder="1" applyAlignment="1">
      <alignment horizontal="center" vertical="center" wrapText="1"/>
      <protection/>
    </xf>
    <xf numFmtId="0" fontId="24" fillId="0" borderId="0" xfId="98" applyFont="1" applyBorder="1" applyAlignment="1">
      <alignment wrapText="1"/>
      <protection/>
    </xf>
    <xf numFmtId="0" fontId="28" fillId="0" borderId="0" xfId="98" applyFont="1" applyBorder="1" applyAlignment="1">
      <alignment horizontal="left" wrapText="1"/>
      <protection/>
    </xf>
    <xf numFmtId="0" fontId="24" fillId="0" borderId="0" xfId="98" applyFont="1" applyBorder="1" applyAlignment="1">
      <alignment horizontal="center" wrapText="1"/>
      <protection/>
    </xf>
    <xf numFmtId="0" fontId="30" fillId="0" borderId="0" xfId="98" applyFont="1" applyAlignment="1">
      <alignment wrapText="1"/>
      <protection/>
    </xf>
    <xf numFmtId="0" fontId="23" fillId="55" borderId="0" xfId="98" applyFont="1" applyFill="1" applyBorder="1" applyAlignment="1">
      <alignment horizontal="center" wrapText="1"/>
      <protection/>
    </xf>
    <xf numFmtId="0" fontId="31" fillId="0" borderId="0" xfId="98" applyFont="1" applyBorder="1" applyAlignment="1">
      <alignment wrapText="1"/>
      <protection/>
    </xf>
    <xf numFmtId="0" fontId="23" fillId="55" borderId="33" xfId="98" applyFont="1" applyFill="1" applyBorder="1" applyAlignment="1">
      <alignment vertical="center" wrapText="1"/>
      <protection/>
    </xf>
    <xf numFmtId="0" fontId="23" fillId="55" borderId="23" xfId="98" applyFont="1" applyFill="1" applyBorder="1" applyAlignment="1">
      <alignment vertical="center" wrapText="1"/>
      <protection/>
    </xf>
    <xf numFmtId="0" fontId="24" fillId="0" borderId="0" xfId="98" applyFont="1" applyAlignment="1">
      <alignment horizontal="left"/>
      <protection/>
    </xf>
    <xf numFmtId="0" fontId="23" fillId="0" borderId="26" xfId="103" applyFont="1" applyBorder="1" applyAlignment="1">
      <alignment horizontal="center" wrapText="1"/>
      <protection/>
    </xf>
    <xf numFmtId="0" fontId="23" fillId="0" borderId="24" xfId="103" applyFont="1" applyBorder="1" applyAlignment="1">
      <alignment horizontal="center" wrapText="1"/>
      <protection/>
    </xf>
    <xf numFmtId="0" fontId="23" fillId="0" borderId="27" xfId="103" applyFont="1" applyBorder="1" applyAlignment="1">
      <alignment horizontal="center" wrapText="1"/>
      <protection/>
    </xf>
    <xf numFmtId="0" fontId="24" fillId="0" borderId="28" xfId="103" applyFont="1" applyBorder="1" applyAlignment="1">
      <alignment horizontal="center" wrapText="1"/>
      <protection/>
    </xf>
    <xf numFmtId="0" fontId="24" fillId="0" borderId="44" xfId="103" applyFont="1" applyBorder="1" applyAlignment="1">
      <alignment horizontal="center" wrapText="1"/>
      <protection/>
    </xf>
    <xf numFmtId="0" fontId="23" fillId="0" borderId="0" xfId="103" applyFont="1" applyBorder="1" applyAlignment="1">
      <alignment horizontal="center" wrapText="1"/>
      <protection/>
    </xf>
    <xf numFmtId="0" fontId="24" fillId="0" borderId="28" xfId="103" applyFont="1" applyBorder="1" applyAlignment="1">
      <alignment horizontal="justify" wrapText="1"/>
      <protection/>
    </xf>
    <xf numFmtId="0" fontId="23" fillId="0" borderId="28" xfId="103" applyFont="1" applyBorder="1" applyAlignment="1">
      <alignment horizontal="center" wrapText="1"/>
      <protection/>
    </xf>
    <xf numFmtId="0" fontId="24" fillId="0" borderId="28" xfId="103" applyFont="1" applyBorder="1" applyAlignment="1">
      <alignment wrapText="1"/>
      <protection/>
    </xf>
    <xf numFmtId="0" fontId="24" fillId="0" borderId="28" xfId="103" applyFont="1" applyBorder="1" applyAlignment="1">
      <alignment horizontal="center" vertical="center" wrapText="1"/>
      <protection/>
    </xf>
    <xf numFmtId="0" fontId="23" fillId="55" borderId="24" xfId="103" applyFont="1" applyFill="1" applyBorder="1" applyAlignment="1">
      <alignment vertical="justify" wrapText="1"/>
      <protection/>
    </xf>
    <xf numFmtId="0" fontId="23" fillId="55" borderId="27" xfId="103" applyFont="1" applyFill="1" applyBorder="1" applyAlignment="1">
      <alignment horizontal="center" wrapText="1"/>
      <protection/>
    </xf>
    <xf numFmtId="0" fontId="23" fillId="55" borderId="26" xfId="103" applyFont="1" applyFill="1" applyBorder="1" applyAlignment="1">
      <alignment horizontal="center" wrapText="1"/>
      <protection/>
    </xf>
    <xf numFmtId="1" fontId="24" fillId="0" borderId="28" xfId="103" applyNumberFormat="1" applyFont="1" applyBorder="1" applyAlignment="1">
      <alignment horizontal="center" vertical="center" wrapText="1"/>
      <protection/>
    </xf>
    <xf numFmtId="1" fontId="24" fillId="0" borderId="0" xfId="103" applyNumberFormat="1" applyFont="1" applyBorder="1" applyAlignment="1">
      <alignment horizontal="center" vertical="center" wrapText="1"/>
      <protection/>
    </xf>
    <xf numFmtId="2" fontId="24" fillId="0" borderId="28" xfId="103" applyNumberFormat="1" applyFont="1" applyBorder="1" applyAlignment="1">
      <alignment horizontal="center" wrapText="1"/>
      <protection/>
    </xf>
    <xf numFmtId="1" fontId="24" fillId="0" borderId="28" xfId="103" applyNumberFormat="1" applyFont="1" applyBorder="1" applyAlignment="1">
      <alignment horizontal="center" wrapText="1"/>
      <protection/>
    </xf>
    <xf numFmtId="0" fontId="23" fillId="0" borderId="26" xfId="98" applyFont="1" applyBorder="1" applyAlignment="1">
      <alignment horizontal="center" wrapText="1"/>
      <protection/>
    </xf>
    <xf numFmtId="0" fontId="23" fillId="0" borderId="24" xfId="98" applyFont="1" applyBorder="1" applyAlignment="1">
      <alignment horizontal="center" wrapText="1"/>
      <protection/>
    </xf>
    <xf numFmtId="0" fontId="23" fillId="0" borderId="27" xfId="98" applyFont="1" applyBorder="1" applyAlignment="1">
      <alignment horizontal="center" wrapText="1"/>
      <protection/>
    </xf>
    <xf numFmtId="0" fontId="24" fillId="0" borderId="28" xfId="98" applyFont="1" applyBorder="1" applyAlignment="1">
      <alignment horizontal="center" wrapText="1"/>
      <protection/>
    </xf>
    <xf numFmtId="0" fontId="24" fillId="0" borderId="44" xfId="98" applyFont="1" applyBorder="1" applyAlignment="1">
      <alignment horizontal="center" wrapText="1"/>
      <protection/>
    </xf>
    <xf numFmtId="0" fontId="23" fillId="0" borderId="0" xfId="98" applyFont="1" applyBorder="1" applyAlignment="1">
      <alignment horizontal="center" wrapText="1"/>
      <protection/>
    </xf>
    <xf numFmtId="0" fontId="24" fillId="0" borderId="28" xfId="98" applyFont="1" applyBorder="1" applyAlignment="1">
      <alignment horizontal="justify" wrapText="1"/>
      <protection/>
    </xf>
    <xf numFmtId="0" fontId="23" fillId="0" borderId="28" xfId="98" applyFont="1" applyBorder="1" applyAlignment="1">
      <alignment horizontal="center" wrapText="1"/>
      <protection/>
    </xf>
    <xf numFmtId="0" fontId="24" fillId="0" borderId="28" xfId="98" applyFont="1" applyBorder="1" applyAlignment="1">
      <alignment wrapText="1"/>
      <protection/>
    </xf>
    <xf numFmtId="0" fontId="24" fillId="0" borderId="28" xfId="98" applyFont="1" applyBorder="1" applyAlignment="1">
      <alignment horizontal="center" vertical="center" wrapText="1"/>
      <protection/>
    </xf>
    <xf numFmtId="0" fontId="23" fillId="55" borderId="24" xfId="98" applyFont="1" applyFill="1" applyBorder="1" applyAlignment="1">
      <alignment vertical="justify" wrapText="1"/>
      <protection/>
    </xf>
    <xf numFmtId="0" fontId="23" fillId="55" borderId="27" xfId="98" applyFont="1" applyFill="1" applyBorder="1" applyAlignment="1">
      <alignment horizontal="center" wrapText="1"/>
      <protection/>
    </xf>
    <xf numFmtId="0" fontId="23" fillId="55" borderId="26" xfId="98" applyFont="1" applyFill="1" applyBorder="1" applyAlignment="1">
      <alignment horizontal="center" wrapText="1"/>
      <protection/>
    </xf>
    <xf numFmtId="1" fontId="24" fillId="0" borderId="28" xfId="98" applyNumberFormat="1" applyFont="1" applyBorder="1" applyAlignment="1">
      <alignment horizontal="center" wrapText="1"/>
      <protection/>
    </xf>
    <xf numFmtId="2" fontId="24" fillId="0" borderId="28" xfId="98" applyNumberFormat="1" applyFont="1" applyBorder="1" applyAlignment="1">
      <alignment horizontal="center" vertical="center" wrapText="1"/>
      <protection/>
    </xf>
    <xf numFmtId="1" fontId="24" fillId="0" borderId="28" xfId="98" applyNumberFormat="1" applyFont="1" applyBorder="1" applyAlignment="1">
      <alignment horizontal="center" vertical="center" wrapText="1"/>
      <protection/>
    </xf>
    <xf numFmtId="0" fontId="6" fillId="0" borderId="0" xfId="97" applyFont="1">
      <alignment/>
      <protection/>
    </xf>
    <xf numFmtId="2" fontId="24" fillId="0" borderId="28" xfId="102" applyNumberFormat="1" applyFont="1" applyFill="1" applyBorder="1" applyAlignment="1">
      <alignment horizontal="center" wrapText="1"/>
      <protection/>
    </xf>
    <xf numFmtId="0" fontId="6" fillId="0" borderId="0" xfId="99" applyFont="1">
      <alignment/>
      <protection/>
    </xf>
    <xf numFmtId="0" fontId="6" fillId="0" borderId="0" xfId="102" applyFont="1">
      <alignment/>
      <protection/>
    </xf>
    <xf numFmtId="2" fontId="24" fillId="0" borderId="28" xfId="103" applyNumberFormat="1" applyFont="1" applyBorder="1" applyAlignment="1">
      <alignment horizontal="center" vertical="center" wrapText="1"/>
      <protection/>
    </xf>
    <xf numFmtId="2" fontId="24" fillId="0" borderId="28" xfId="98" applyNumberFormat="1" applyFont="1" applyBorder="1" applyAlignment="1">
      <alignment horizontal="center" wrapText="1"/>
      <protection/>
    </xf>
    <xf numFmtId="174" fontId="24" fillId="0" borderId="28" xfId="97" applyNumberFormat="1" applyFont="1" applyFill="1" applyBorder="1" applyAlignment="1">
      <alignment horizontal="center" vertical="center" wrapText="1"/>
      <protection/>
    </xf>
    <xf numFmtId="0" fontId="23" fillId="0" borderId="28" xfId="97" applyFont="1" applyFill="1" applyBorder="1" applyAlignment="1">
      <alignment horizontal="center" vertical="center" wrapText="1"/>
      <protection/>
    </xf>
    <xf numFmtId="2" fontId="6" fillId="0" borderId="0" xfId="97" applyNumberFormat="1" applyFill="1">
      <alignment/>
      <protection/>
    </xf>
    <xf numFmtId="0" fontId="21" fillId="0" borderId="0" xfId="97" applyFont="1" applyAlignment="1">
      <alignment horizontal="center"/>
      <protection/>
    </xf>
    <xf numFmtId="0" fontId="22" fillId="0" borderId="0" xfId="97" applyFont="1" applyAlignment="1">
      <alignment horizontal="center"/>
      <protection/>
    </xf>
    <xf numFmtId="0" fontId="24" fillId="0" borderId="43" xfId="97" applyFont="1" applyBorder="1" applyAlignment="1">
      <alignment horizontal="center" vertical="top" wrapText="1"/>
      <protection/>
    </xf>
    <xf numFmtId="0" fontId="24" fillId="0" borderId="21" xfId="97" applyFont="1" applyBorder="1" applyAlignment="1">
      <alignment horizontal="center" vertical="top" wrapText="1"/>
      <protection/>
    </xf>
    <xf numFmtId="0" fontId="24" fillId="0" borderId="20" xfId="97" applyFont="1" applyBorder="1" applyAlignment="1">
      <alignment horizontal="center" vertical="top" wrapText="1"/>
      <protection/>
    </xf>
    <xf numFmtId="0" fontId="27" fillId="0" borderId="43" xfId="97" applyFont="1" applyBorder="1" applyAlignment="1">
      <alignment horizontal="left" wrapText="1"/>
      <protection/>
    </xf>
    <xf numFmtId="0" fontId="27" fillId="0" borderId="20" xfId="97" applyFont="1" applyBorder="1" applyAlignment="1">
      <alignment horizontal="left" wrapText="1"/>
      <protection/>
    </xf>
    <xf numFmtId="0" fontId="24" fillId="0" borderId="43" xfId="97" applyFont="1" applyBorder="1" applyAlignment="1">
      <alignment horizontal="center" wrapText="1"/>
      <protection/>
    </xf>
    <xf numFmtId="0" fontId="24" fillId="0" borderId="20" xfId="97" applyFont="1" applyBorder="1" applyAlignment="1">
      <alignment horizontal="center" wrapText="1"/>
      <protection/>
    </xf>
    <xf numFmtId="0" fontId="23" fillId="55" borderId="43" xfId="97" applyFont="1" applyFill="1" applyBorder="1" applyAlignment="1">
      <alignment horizontal="center" vertical="center" wrapText="1"/>
      <protection/>
    </xf>
    <xf numFmtId="0" fontId="23" fillId="55" borderId="21" xfId="97" applyFont="1" applyFill="1" applyBorder="1" applyAlignment="1">
      <alignment horizontal="center" vertical="center" wrapText="1"/>
      <protection/>
    </xf>
    <xf numFmtId="0" fontId="23" fillId="55" borderId="33" xfId="97" applyFont="1" applyFill="1" applyBorder="1" applyAlignment="1">
      <alignment horizontal="center" vertical="center" wrapText="1"/>
      <protection/>
    </xf>
    <xf numFmtId="0" fontId="23" fillId="55" borderId="23" xfId="97" applyFont="1" applyFill="1" applyBorder="1" applyAlignment="1">
      <alignment horizontal="center" vertical="center" wrapText="1"/>
      <protection/>
    </xf>
    <xf numFmtId="0" fontId="23" fillId="55" borderId="44" xfId="97" applyFont="1" applyFill="1" applyBorder="1" applyAlignment="1">
      <alignment horizontal="center" vertical="center" wrapText="1"/>
      <protection/>
    </xf>
    <xf numFmtId="0" fontId="23" fillId="55" borderId="45" xfId="97" applyFont="1" applyFill="1" applyBorder="1" applyAlignment="1">
      <alignment horizontal="center" vertical="center" wrapText="1"/>
      <protection/>
    </xf>
    <xf numFmtId="0" fontId="23" fillId="55" borderId="25" xfId="97" applyFont="1" applyFill="1" applyBorder="1" applyAlignment="1">
      <alignment horizontal="center" vertical="center" wrapText="1"/>
      <protection/>
    </xf>
    <xf numFmtId="0" fontId="23" fillId="0" borderId="33" xfId="97" applyFont="1" applyBorder="1" applyAlignment="1">
      <alignment horizontal="center" wrapText="1"/>
      <protection/>
    </xf>
    <xf numFmtId="0" fontId="23" fillId="0" borderId="32" xfId="97" applyFont="1" applyBorder="1" applyAlignment="1">
      <alignment horizontal="center" wrapText="1"/>
      <protection/>
    </xf>
    <xf numFmtId="0" fontId="24" fillId="0" borderId="0" xfId="97" applyFont="1" applyBorder="1" applyAlignment="1">
      <alignment horizontal="left" wrapText="1"/>
      <protection/>
    </xf>
    <xf numFmtId="1" fontId="23" fillId="55" borderId="28" xfId="97" applyNumberFormat="1" applyFont="1" applyFill="1" applyBorder="1" applyAlignment="1">
      <alignment horizontal="center" vertical="center" wrapText="1"/>
      <protection/>
    </xf>
    <xf numFmtId="0" fontId="23" fillId="55" borderId="27" xfId="97" applyFont="1" applyFill="1" applyBorder="1" applyAlignment="1">
      <alignment horizontal="center" vertical="center" wrapText="1"/>
      <protection/>
    </xf>
    <xf numFmtId="0" fontId="24" fillId="0" borderId="28" xfId="97" applyFont="1" applyBorder="1" applyAlignment="1">
      <alignment horizontal="left" wrapText="1"/>
      <protection/>
    </xf>
    <xf numFmtId="1" fontId="24" fillId="55" borderId="28" xfId="97" applyNumberFormat="1" applyFont="1" applyFill="1" applyBorder="1" applyAlignment="1">
      <alignment horizontal="center" vertical="center" wrapText="1"/>
      <protection/>
    </xf>
    <xf numFmtId="0" fontId="24" fillId="55" borderId="28" xfId="97" applyFont="1" applyFill="1" applyBorder="1" applyAlignment="1">
      <alignment horizontal="center" vertical="center" wrapText="1"/>
      <protection/>
    </xf>
    <xf numFmtId="0" fontId="23" fillId="55" borderId="28" xfId="97" applyFont="1" applyFill="1" applyBorder="1" applyAlignment="1">
      <alignment horizontal="center" vertical="center" wrapText="1"/>
      <protection/>
    </xf>
    <xf numFmtId="0" fontId="23" fillId="55" borderId="32" xfId="97" applyFont="1" applyFill="1" applyBorder="1" applyAlignment="1">
      <alignment horizontal="center" vertical="center" wrapText="1"/>
      <protection/>
    </xf>
    <xf numFmtId="0" fontId="23" fillId="55" borderId="0" xfId="97" applyFont="1" applyFill="1" applyBorder="1" applyAlignment="1">
      <alignment horizontal="center" vertical="center" wrapText="1"/>
      <protection/>
    </xf>
    <xf numFmtId="0" fontId="23" fillId="0" borderId="28" xfId="97" applyFont="1" applyBorder="1" applyAlignment="1">
      <alignment horizontal="left" wrapText="1"/>
      <protection/>
    </xf>
    <xf numFmtId="0" fontId="24" fillId="0" borderId="46" xfId="97" applyFont="1" applyBorder="1" applyAlignment="1">
      <alignment horizontal="left" wrapText="1"/>
      <protection/>
    </xf>
    <xf numFmtId="0" fontId="24" fillId="0" borderId="42" xfId="97" applyFont="1" applyBorder="1" applyAlignment="1">
      <alignment horizontal="left" wrapText="1"/>
      <protection/>
    </xf>
    <xf numFmtId="0" fontId="28" fillId="0" borderId="28" xfId="97" applyFont="1" applyBorder="1" applyAlignment="1">
      <alignment horizontal="left" wrapText="1"/>
      <protection/>
    </xf>
    <xf numFmtId="0" fontId="24" fillId="0" borderId="28" xfId="97" applyFont="1" applyBorder="1" applyAlignment="1">
      <alignment horizontal="justify" wrapText="1"/>
      <protection/>
    </xf>
    <xf numFmtId="0" fontId="29" fillId="0" borderId="28" xfId="97" applyFont="1" applyBorder="1" applyAlignment="1">
      <alignment horizontal="left" wrapText="1"/>
      <protection/>
    </xf>
    <xf numFmtId="0" fontId="24" fillId="0" borderId="32" xfId="97" applyFont="1" applyBorder="1" applyAlignment="1">
      <alignment horizontal="justify" wrapText="1"/>
      <protection/>
    </xf>
    <xf numFmtId="0" fontId="24" fillId="0" borderId="28" xfId="97" applyFont="1" applyBorder="1" applyAlignment="1">
      <alignment horizontal="center" wrapText="1"/>
      <protection/>
    </xf>
    <xf numFmtId="0" fontId="24" fillId="0" borderId="0" xfId="97" applyFont="1" applyBorder="1" applyAlignment="1">
      <alignment horizontal="justify" wrapText="1"/>
      <protection/>
    </xf>
    <xf numFmtId="0" fontId="23" fillId="55" borderId="24" xfId="97" applyFont="1" applyFill="1" applyBorder="1" applyAlignment="1">
      <alignment horizontal="center" vertical="center" wrapText="1"/>
      <protection/>
    </xf>
    <xf numFmtId="0" fontId="23" fillId="55" borderId="26" xfId="97" applyFont="1" applyFill="1" applyBorder="1" applyAlignment="1">
      <alignment horizontal="center" vertical="center" wrapText="1"/>
      <protection/>
    </xf>
    <xf numFmtId="0" fontId="23" fillId="55" borderId="22" xfId="97" applyFont="1" applyFill="1" applyBorder="1" applyAlignment="1">
      <alignment horizontal="center" vertical="center" wrapText="1"/>
      <protection/>
    </xf>
    <xf numFmtId="0" fontId="24" fillId="0" borderId="29" xfId="97" applyFont="1" applyBorder="1" applyAlignment="1">
      <alignment horizontal="center" wrapText="1"/>
      <protection/>
    </xf>
    <xf numFmtId="0" fontId="24" fillId="0" borderId="30" xfId="97" applyFont="1" applyBorder="1" applyAlignment="1">
      <alignment horizontal="center" wrapText="1"/>
      <protection/>
    </xf>
    <xf numFmtId="0" fontId="24" fillId="0" borderId="31" xfId="97" applyFont="1" applyBorder="1" applyAlignment="1">
      <alignment horizontal="center" wrapText="1"/>
      <protection/>
    </xf>
    <xf numFmtId="0" fontId="24" fillId="0" borderId="28" xfId="102" applyFont="1" applyBorder="1" applyAlignment="1">
      <alignment horizontal="left" wrapText="1"/>
      <protection/>
    </xf>
    <xf numFmtId="0" fontId="28" fillId="0" borderId="28" xfId="102" applyFont="1" applyBorder="1" applyAlignment="1">
      <alignment horizontal="left" wrapText="1"/>
      <protection/>
    </xf>
    <xf numFmtId="0" fontId="24" fillId="0" borderId="46" xfId="102" applyFont="1" applyBorder="1" applyAlignment="1">
      <alignment horizontal="left" wrapText="1"/>
      <protection/>
    </xf>
    <xf numFmtId="0" fontId="24" fillId="0" borderId="42" xfId="102" applyFont="1" applyBorder="1" applyAlignment="1">
      <alignment horizontal="left" wrapText="1"/>
      <protection/>
    </xf>
    <xf numFmtId="0" fontId="29" fillId="0" borderId="28" xfId="102" applyFont="1" applyBorder="1" applyAlignment="1">
      <alignment horizontal="left" wrapText="1"/>
      <protection/>
    </xf>
    <xf numFmtId="0" fontId="24" fillId="0" borderId="28" xfId="102" applyFont="1" applyBorder="1" applyAlignment="1">
      <alignment horizontal="justify" wrapText="1"/>
      <protection/>
    </xf>
    <xf numFmtId="0" fontId="23" fillId="55" borderId="24" xfId="102" applyFont="1" applyFill="1" applyBorder="1" applyAlignment="1">
      <alignment horizontal="center" vertical="center" wrapText="1"/>
      <protection/>
    </xf>
    <xf numFmtId="0" fontId="23" fillId="55" borderId="22" xfId="102" applyFont="1" applyFill="1" applyBorder="1" applyAlignment="1">
      <alignment horizontal="center" vertical="center" wrapText="1"/>
      <protection/>
    </xf>
    <xf numFmtId="0" fontId="24" fillId="0" borderId="44" xfId="102" applyFont="1" applyBorder="1" applyAlignment="1">
      <alignment horizontal="center" wrapText="1"/>
      <protection/>
    </xf>
    <xf numFmtId="0" fontId="24" fillId="0" borderId="47" xfId="102" applyFont="1" applyBorder="1" applyAlignment="1">
      <alignment horizontal="left" wrapText="1"/>
      <protection/>
    </xf>
    <xf numFmtId="0" fontId="24" fillId="0" borderId="48" xfId="102" applyFont="1" applyBorder="1" applyAlignment="1">
      <alignment horizontal="left" wrapText="1"/>
      <protection/>
    </xf>
    <xf numFmtId="0" fontId="23" fillId="55" borderId="26" xfId="102" applyFont="1" applyFill="1" applyBorder="1" applyAlignment="1">
      <alignment horizontal="center" vertical="center" wrapText="1"/>
      <protection/>
    </xf>
    <xf numFmtId="0" fontId="23" fillId="55" borderId="33" xfId="102" applyFont="1" applyFill="1" applyBorder="1" applyAlignment="1">
      <alignment horizontal="center" vertical="center" wrapText="1"/>
      <protection/>
    </xf>
    <xf numFmtId="0" fontId="23" fillId="55" borderId="23" xfId="102" applyFont="1" applyFill="1" applyBorder="1" applyAlignment="1">
      <alignment horizontal="center" vertical="center" wrapText="1"/>
      <protection/>
    </xf>
    <xf numFmtId="0" fontId="23" fillId="55" borderId="44" xfId="102" applyFont="1" applyFill="1" applyBorder="1" applyAlignment="1">
      <alignment horizontal="center" vertical="center" wrapText="1"/>
      <protection/>
    </xf>
    <xf numFmtId="0" fontId="23" fillId="55" borderId="27" xfId="102" applyFont="1" applyFill="1" applyBorder="1" applyAlignment="1">
      <alignment horizontal="center" vertical="center" wrapText="1"/>
      <protection/>
    </xf>
    <xf numFmtId="0" fontId="24" fillId="0" borderId="28" xfId="102" applyFont="1" applyBorder="1" applyAlignment="1">
      <alignment horizontal="center" wrapText="1"/>
      <protection/>
    </xf>
    <xf numFmtId="0" fontId="24" fillId="0" borderId="0" xfId="102" applyFont="1" applyBorder="1" applyAlignment="1">
      <alignment horizontal="justify" wrapText="1"/>
      <protection/>
    </xf>
    <xf numFmtId="0" fontId="24" fillId="0" borderId="32" xfId="102" applyFont="1" applyBorder="1" applyAlignment="1">
      <alignment horizontal="justify" wrapText="1"/>
      <protection/>
    </xf>
    <xf numFmtId="0" fontId="23" fillId="0" borderId="28" xfId="102" applyFont="1" applyBorder="1" applyAlignment="1">
      <alignment horizontal="left" wrapText="1"/>
      <protection/>
    </xf>
    <xf numFmtId="0" fontId="23" fillId="55" borderId="28" xfId="102" applyFont="1" applyFill="1" applyBorder="1" applyAlignment="1">
      <alignment horizontal="center" vertical="center" wrapText="1"/>
      <protection/>
    </xf>
    <xf numFmtId="0" fontId="23" fillId="55" borderId="32" xfId="102" applyFont="1" applyFill="1" applyBorder="1" applyAlignment="1">
      <alignment horizontal="center" vertical="center" wrapText="1"/>
      <protection/>
    </xf>
    <xf numFmtId="0" fontId="23" fillId="55" borderId="0" xfId="102" applyFont="1" applyFill="1" applyBorder="1" applyAlignment="1">
      <alignment horizontal="center" vertical="center" wrapText="1"/>
      <protection/>
    </xf>
    <xf numFmtId="1" fontId="23" fillId="55" borderId="28" xfId="102" applyNumberFormat="1" applyFont="1" applyFill="1" applyBorder="1" applyAlignment="1">
      <alignment horizontal="center" vertical="center" wrapText="1"/>
      <protection/>
    </xf>
    <xf numFmtId="1" fontId="24" fillId="55" borderId="28" xfId="102" applyNumberFormat="1" applyFont="1" applyFill="1" applyBorder="1" applyAlignment="1">
      <alignment horizontal="center" vertical="center" wrapText="1"/>
      <protection/>
    </xf>
    <xf numFmtId="0" fontId="24" fillId="55" borderId="28" xfId="102" applyFont="1" applyFill="1" applyBorder="1" applyAlignment="1">
      <alignment horizontal="center" vertical="center" wrapText="1"/>
      <protection/>
    </xf>
    <xf numFmtId="0" fontId="23" fillId="55" borderId="43" xfId="102" applyFont="1" applyFill="1" applyBorder="1" applyAlignment="1">
      <alignment horizontal="center" vertical="center" wrapText="1"/>
      <protection/>
    </xf>
    <xf numFmtId="0" fontId="23" fillId="55" borderId="21" xfId="102" applyFont="1" applyFill="1" applyBorder="1" applyAlignment="1">
      <alignment horizontal="center" vertical="center" wrapText="1"/>
      <protection/>
    </xf>
    <xf numFmtId="0" fontId="24" fillId="0" borderId="43" xfId="102" applyFont="1" applyBorder="1" applyAlignment="1">
      <alignment horizontal="center" wrapText="1"/>
      <protection/>
    </xf>
    <xf numFmtId="0" fontId="24" fillId="0" borderId="20" xfId="102" applyFont="1" applyBorder="1" applyAlignment="1">
      <alignment horizontal="center" wrapText="1"/>
      <protection/>
    </xf>
    <xf numFmtId="0" fontId="23" fillId="0" borderId="33" xfId="102" applyFont="1" applyBorder="1" applyAlignment="1">
      <alignment horizontal="center" wrapText="1"/>
      <protection/>
    </xf>
    <xf numFmtId="0" fontId="23" fillId="0" borderId="32" xfId="102" applyFont="1" applyBorder="1" applyAlignment="1">
      <alignment horizontal="center" wrapText="1"/>
      <protection/>
    </xf>
    <xf numFmtId="0" fontId="24" fillId="0" borderId="38" xfId="102" applyFont="1" applyBorder="1" applyAlignment="1">
      <alignment horizontal="left" wrapText="1"/>
      <protection/>
    </xf>
    <xf numFmtId="0" fontId="24" fillId="0" borderId="39" xfId="102" applyFont="1" applyBorder="1" applyAlignment="1">
      <alignment horizontal="left" wrapText="1"/>
      <protection/>
    </xf>
    <xf numFmtId="0" fontId="24" fillId="0" borderId="40" xfId="102" applyFont="1" applyBorder="1" applyAlignment="1">
      <alignment horizontal="left" wrapText="1"/>
      <protection/>
    </xf>
    <xf numFmtId="0" fontId="24" fillId="0" borderId="41" xfId="102" applyFont="1" applyBorder="1" applyAlignment="1">
      <alignment horizontal="left" wrapText="1"/>
      <protection/>
    </xf>
    <xf numFmtId="0" fontId="27" fillId="0" borderId="43" xfId="102" applyFont="1" applyBorder="1" applyAlignment="1">
      <alignment horizontal="left" wrapText="1"/>
      <protection/>
    </xf>
    <xf numFmtId="0" fontId="27" fillId="0" borderId="20" xfId="102" applyFont="1" applyBorder="1" applyAlignment="1">
      <alignment horizontal="left" wrapText="1"/>
      <protection/>
    </xf>
    <xf numFmtId="0" fontId="24" fillId="0" borderId="43" xfId="102" applyFont="1" applyBorder="1" applyAlignment="1">
      <alignment horizontal="center" vertical="top" wrapText="1"/>
      <protection/>
    </xf>
    <xf numFmtId="0" fontId="24" fillId="0" borderId="21" xfId="102" applyFont="1" applyBorder="1" applyAlignment="1">
      <alignment horizontal="center" vertical="top" wrapText="1"/>
      <protection/>
    </xf>
    <xf numFmtId="0" fontId="24" fillId="0" borderId="20" xfId="102" applyFont="1" applyBorder="1" applyAlignment="1">
      <alignment horizontal="center" vertical="top" wrapText="1"/>
      <protection/>
    </xf>
    <xf numFmtId="0" fontId="23" fillId="55" borderId="45" xfId="102" applyFont="1" applyFill="1" applyBorder="1" applyAlignment="1">
      <alignment horizontal="center" vertical="center" wrapText="1"/>
      <protection/>
    </xf>
    <xf numFmtId="0" fontId="23" fillId="55" borderId="25" xfId="102" applyFont="1" applyFill="1" applyBorder="1" applyAlignment="1">
      <alignment horizontal="center" vertical="center" wrapText="1"/>
      <protection/>
    </xf>
    <xf numFmtId="0" fontId="21" fillId="0" borderId="0" xfId="102" applyFont="1" applyAlignment="1">
      <alignment horizontal="center"/>
      <protection/>
    </xf>
    <xf numFmtId="0" fontId="22" fillId="0" borderId="0" xfId="102" applyFont="1" applyAlignment="1">
      <alignment horizontal="center"/>
      <protection/>
    </xf>
    <xf numFmtId="0" fontId="26" fillId="0" borderId="43" xfId="102" applyFont="1" applyBorder="1" applyAlignment="1">
      <alignment horizontal="left" wrapText="1"/>
      <protection/>
    </xf>
    <xf numFmtId="0" fontId="26" fillId="0" borderId="20" xfId="102" applyFont="1" applyBorder="1" applyAlignment="1">
      <alignment horizontal="left" wrapText="1"/>
      <protection/>
    </xf>
    <xf numFmtId="0" fontId="24" fillId="0" borderId="28" xfId="106" applyFont="1" applyBorder="1" applyAlignment="1">
      <alignment horizontal="left" wrapText="1"/>
      <protection/>
    </xf>
    <xf numFmtId="0" fontId="29" fillId="0" borderId="28" xfId="106" applyFont="1" applyBorder="1" applyAlignment="1">
      <alignment horizontal="left" wrapText="1"/>
      <protection/>
    </xf>
    <xf numFmtId="0" fontId="28" fillId="0" borderId="28" xfId="106" applyFont="1" applyBorder="1" applyAlignment="1">
      <alignment horizontal="left" wrapText="1"/>
      <protection/>
    </xf>
    <xf numFmtId="0" fontId="24" fillId="0" borderId="28" xfId="106" applyFont="1" applyBorder="1" applyAlignment="1">
      <alignment horizontal="justify" wrapText="1"/>
      <protection/>
    </xf>
    <xf numFmtId="0" fontId="23" fillId="55" borderId="24" xfId="106" applyFont="1" applyFill="1" applyBorder="1" applyAlignment="1">
      <alignment horizontal="center" vertical="center" wrapText="1"/>
      <protection/>
    </xf>
    <xf numFmtId="0" fontId="23" fillId="55" borderId="22" xfId="106" applyFont="1" applyFill="1" applyBorder="1" applyAlignment="1">
      <alignment horizontal="center" vertical="center" wrapText="1"/>
      <protection/>
    </xf>
    <xf numFmtId="0" fontId="24" fillId="0" borderId="44" xfId="106" applyFont="1" applyBorder="1" applyAlignment="1">
      <alignment horizontal="center" wrapText="1"/>
      <protection/>
    </xf>
    <xf numFmtId="0" fontId="24" fillId="0" borderId="47" xfId="106" applyFont="1" applyBorder="1" applyAlignment="1">
      <alignment horizontal="left" wrapText="1"/>
      <protection/>
    </xf>
    <xf numFmtId="0" fontId="24" fillId="0" borderId="48" xfId="106" applyFont="1" applyBorder="1" applyAlignment="1">
      <alignment horizontal="left" wrapText="1"/>
      <protection/>
    </xf>
    <xf numFmtId="0" fontId="23" fillId="55" borderId="26" xfId="106" applyFont="1" applyFill="1" applyBorder="1" applyAlignment="1">
      <alignment horizontal="center" vertical="center" wrapText="1"/>
      <protection/>
    </xf>
    <xf numFmtId="0" fontId="23" fillId="55" borderId="33" xfId="106" applyFont="1" applyFill="1" applyBorder="1" applyAlignment="1">
      <alignment horizontal="center" vertical="center" wrapText="1"/>
      <protection/>
    </xf>
    <xf numFmtId="0" fontId="23" fillId="55" borderId="23" xfId="106" applyFont="1" applyFill="1" applyBorder="1" applyAlignment="1">
      <alignment horizontal="center" vertical="center" wrapText="1"/>
      <protection/>
    </xf>
    <xf numFmtId="0" fontId="23" fillId="55" borderId="44" xfId="106" applyFont="1" applyFill="1" applyBorder="1" applyAlignment="1">
      <alignment horizontal="center" vertical="center" wrapText="1"/>
      <protection/>
    </xf>
    <xf numFmtId="0" fontId="23" fillId="55" borderId="27" xfId="106" applyFont="1" applyFill="1" applyBorder="1" applyAlignment="1">
      <alignment horizontal="center" vertical="center" wrapText="1"/>
      <protection/>
    </xf>
    <xf numFmtId="0" fontId="24" fillId="0" borderId="28" xfId="106" applyFont="1" applyBorder="1" applyAlignment="1">
      <alignment horizontal="center" wrapText="1"/>
      <protection/>
    </xf>
    <xf numFmtId="0" fontId="24" fillId="0" borderId="33" xfId="106" applyFont="1" applyBorder="1" applyAlignment="1">
      <alignment horizontal="left" wrapText="1"/>
      <protection/>
    </xf>
    <xf numFmtId="0" fontId="24" fillId="0" borderId="23" xfId="106" applyFont="1" applyBorder="1" applyAlignment="1">
      <alignment horizontal="left" wrapText="1"/>
      <protection/>
    </xf>
    <xf numFmtId="0" fontId="24" fillId="0" borderId="35" xfId="106" applyFont="1" applyBorder="1" applyAlignment="1">
      <alignment horizontal="justify" wrapText="1"/>
      <protection/>
    </xf>
    <xf numFmtId="0" fontId="24" fillId="0" borderId="32" xfId="106" applyFont="1" applyBorder="1" applyAlignment="1">
      <alignment horizontal="justify" wrapText="1"/>
      <protection/>
    </xf>
    <xf numFmtId="0" fontId="24" fillId="0" borderId="0" xfId="106" applyFont="1" applyBorder="1" applyAlignment="1">
      <alignment horizontal="justify" wrapText="1"/>
      <protection/>
    </xf>
    <xf numFmtId="0" fontId="24" fillId="0" borderId="46" xfId="106" applyFont="1" applyBorder="1" applyAlignment="1">
      <alignment horizontal="left" wrapText="1"/>
      <protection/>
    </xf>
    <xf numFmtId="0" fontId="24" fillId="0" borderId="42" xfId="106" applyFont="1" applyBorder="1" applyAlignment="1">
      <alignment horizontal="left" wrapText="1"/>
      <protection/>
    </xf>
    <xf numFmtId="0" fontId="23" fillId="0" borderId="28" xfId="106" applyFont="1" applyBorder="1" applyAlignment="1">
      <alignment horizontal="left" wrapText="1"/>
      <protection/>
    </xf>
    <xf numFmtId="1" fontId="23" fillId="55" borderId="28" xfId="106" applyNumberFormat="1" applyFont="1" applyFill="1" applyBorder="1" applyAlignment="1">
      <alignment horizontal="center" vertical="center" wrapText="1"/>
      <protection/>
    </xf>
    <xf numFmtId="0" fontId="23" fillId="55" borderId="32" xfId="106" applyFont="1" applyFill="1" applyBorder="1" applyAlignment="1">
      <alignment horizontal="center" vertical="center" wrapText="1"/>
      <protection/>
    </xf>
    <xf numFmtId="0" fontId="23" fillId="55" borderId="0" xfId="106" applyFont="1" applyFill="1" applyBorder="1" applyAlignment="1">
      <alignment horizontal="center" vertical="center" wrapText="1"/>
      <protection/>
    </xf>
    <xf numFmtId="1" fontId="24" fillId="55" borderId="28" xfId="106" applyNumberFormat="1" applyFont="1" applyFill="1" applyBorder="1" applyAlignment="1">
      <alignment horizontal="center" vertical="center" wrapText="1"/>
      <protection/>
    </xf>
    <xf numFmtId="0" fontId="24" fillId="55" borderId="28" xfId="106" applyFont="1" applyFill="1" applyBorder="1" applyAlignment="1">
      <alignment horizontal="center" vertical="center" wrapText="1"/>
      <protection/>
    </xf>
    <xf numFmtId="0" fontId="23" fillId="55" borderId="43" xfId="106" applyFont="1" applyFill="1" applyBorder="1" applyAlignment="1">
      <alignment horizontal="center" vertical="center" wrapText="1"/>
      <protection/>
    </xf>
    <xf numFmtId="0" fontId="23" fillId="55" borderId="21" xfId="106" applyFont="1" applyFill="1" applyBorder="1" applyAlignment="1">
      <alignment horizontal="center" vertical="center" wrapText="1"/>
      <protection/>
    </xf>
    <xf numFmtId="0" fontId="24" fillId="0" borderId="43" xfId="106" applyFont="1" applyBorder="1" applyAlignment="1">
      <alignment horizontal="center" wrapText="1"/>
      <protection/>
    </xf>
    <xf numFmtId="0" fontId="24" fillId="0" borderId="20" xfId="106" applyFont="1" applyBorder="1" applyAlignment="1">
      <alignment horizontal="center" wrapText="1"/>
      <protection/>
    </xf>
    <xf numFmtId="0" fontId="23" fillId="0" borderId="33" xfId="106" applyFont="1" applyBorder="1" applyAlignment="1">
      <alignment horizontal="center" wrapText="1"/>
      <protection/>
    </xf>
    <xf numFmtId="0" fontId="23" fillId="0" borderId="32" xfId="106" applyFont="1" applyBorder="1" applyAlignment="1">
      <alignment horizontal="center" wrapText="1"/>
      <protection/>
    </xf>
    <xf numFmtId="0" fontId="24" fillId="0" borderId="38" xfId="106" applyFont="1" applyBorder="1" applyAlignment="1">
      <alignment horizontal="left" wrapText="1"/>
      <protection/>
    </xf>
    <xf numFmtId="0" fontId="24" fillId="0" borderId="39" xfId="106" applyFont="1" applyBorder="1" applyAlignment="1">
      <alignment horizontal="left" wrapText="1"/>
      <protection/>
    </xf>
    <xf numFmtId="0" fontId="24" fillId="0" borderId="40" xfId="106" applyFont="1" applyBorder="1" applyAlignment="1">
      <alignment horizontal="left" wrapText="1"/>
      <protection/>
    </xf>
    <xf numFmtId="0" fontId="24" fillId="0" borderId="41" xfId="106" applyFont="1" applyBorder="1" applyAlignment="1">
      <alignment horizontal="left" wrapText="1"/>
      <protection/>
    </xf>
    <xf numFmtId="0" fontId="27" fillId="0" borderId="43" xfId="106" applyFont="1" applyBorder="1" applyAlignment="1">
      <alignment horizontal="left" wrapText="1"/>
      <protection/>
    </xf>
    <xf numFmtId="0" fontId="27" fillId="0" borderId="20" xfId="106" applyFont="1" applyBorder="1" applyAlignment="1">
      <alignment horizontal="left" wrapText="1"/>
      <protection/>
    </xf>
    <xf numFmtId="0" fontId="24" fillId="0" borderId="43" xfId="106" applyFont="1" applyBorder="1" applyAlignment="1">
      <alignment horizontal="center" vertical="top" wrapText="1"/>
      <protection/>
    </xf>
    <xf numFmtId="0" fontId="24" fillId="0" borderId="21" xfId="106" applyFont="1" applyBorder="1" applyAlignment="1">
      <alignment horizontal="center" vertical="top" wrapText="1"/>
      <protection/>
    </xf>
    <xf numFmtId="0" fontId="24" fillId="0" borderId="20" xfId="106" applyFont="1" applyBorder="1" applyAlignment="1">
      <alignment horizontal="center" vertical="top" wrapText="1"/>
      <protection/>
    </xf>
    <xf numFmtId="0" fontId="23" fillId="55" borderId="45" xfId="106" applyFont="1" applyFill="1" applyBorder="1" applyAlignment="1">
      <alignment horizontal="center" vertical="center" wrapText="1"/>
      <protection/>
    </xf>
    <xf numFmtId="0" fontId="23" fillId="55" borderId="25" xfId="106" applyFont="1" applyFill="1" applyBorder="1" applyAlignment="1">
      <alignment horizontal="center" vertical="center" wrapText="1"/>
      <protection/>
    </xf>
    <xf numFmtId="0" fontId="21" fillId="0" borderId="0" xfId="106" applyFont="1" applyAlignment="1">
      <alignment horizontal="center"/>
      <protection/>
    </xf>
    <xf numFmtId="0" fontId="22" fillId="0" borderId="0" xfId="106" applyFont="1" applyAlignment="1">
      <alignment horizontal="center"/>
      <protection/>
    </xf>
    <xf numFmtId="0" fontId="26" fillId="0" borderId="43" xfId="106" applyFont="1" applyBorder="1" applyAlignment="1">
      <alignment horizontal="left" wrapText="1"/>
      <protection/>
    </xf>
    <xf numFmtId="0" fontId="26" fillId="0" borderId="20" xfId="106" applyFont="1" applyBorder="1" applyAlignment="1">
      <alignment horizontal="left" wrapText="1"/>
      <protection/>
    </xf>
    <xf numFmtId="0" fontId="24" fillId="0" borderId="46" xfId="100" applyFont="1" applyBorder="1" applyAlignment="1">
      <alignment horizontal="left" wrapText="1"/>
      <protection/>
    </xf>
    <xf numFmtId="0" fontId="24" fillId="0" borderId="42" xfId="100" applyFont="1" applyBorder="1" applyAlignment="1">
      <alignment horizontal="left" wrapText="1"/>
      <protection/>
    </xf>
    <xf numFmtId="0" fontId="21" fillId="0" borderId="0" xfId="100" applyFont="1" applyAlignment="1">
      <alignment horizontal="center"/>
      <protection/>
    </xf>
    <xf numFmtId="0" fontId="22" fillId="0" borderId="0" xfId="100" applyFont="1" applyAlignment="1">
      <alignment horizontal="center"/>
      <protection/>
    </xf>
    <xf numFmtId="0" fontId="24" fillId="0" borderId="43" xfId="100" applyFont="1" applyBorder="1" applyAlignment="1">
      <alignment horizontal="center" vertical="top" wrapText="1"/>
      <protection/>
    </xf>
    <xf numFmtId="0" fontId="24" fillId="0" borderId="21" xfId="100" applyFont="1" applyBorder="1" applyAlignment="1">
      <alignment horizontal="center" vertical="top" wrapText="1"/>
      <protection/>
    </xf>
    <xf numFmtId="0" fontId="24" fillId="0" borderId="20" xfId="100" applyFont="1" applyBorder="1" applyAlignment="1">
      <alignment horizontal="center" vertical="top" wrapText="1"/>
      <protection/>
    </xf>
    <xf numFmtId="0" fontId="27" fillId="0" borderId="43" xfId="100" applyFont="1" applyBorder="1" applyAlignment="1">
      <alignment horizontal="left" wrapText="1"/>
      <protection/>
    </xf>
    <xf numFmtId="0" fontId="27" fillId="0" borderId="20" xfId="100" applyFont="1" applyBorder="1" applyAlignment="1">
      <alignment horizontal="left" wrapText="1"/>
      <protection/>
    </xf>
    <xf numFmtId="0" fontId="24" fillId="0" borderId="43" xfId="100" applyFont="1" applyBorder="1" applyAlignment="1">
      <alignment horizontal="center" wrapText="1"/>
      <protection/>
    </xf>
    <xf numFmtId="0" fontId="24" fillId="0" borderId="20" xfId="100" applyFont="1" applyBorder="1" applyAlignment="1">
      <alignment horizontal="center" wrapText="1"/>
      <protection/>
    </xf>
    <xf numFmtId="0" fontId="23" fillId="55" borderId="33" xfId="100" applyFont="1" applyFill="1" applyBorder="1" applyAlignment="1">
      <alignment horizontal="center" vertical="center" wrapText="1"/>
      <protection/>
    </xf>
    <xf numFmtId="0" fontId="23" fillId="55" borderId="23" xfId="100" applyFont="1" applyFill="1" applyBorder="1" applyAlignment="1">
      <alignment horizontal="center" vertical="center" wrapText="1"/>
      <protection/>
    </xf>
    <xf numFmtId="0" fontId="23" fillId="55" borderId="44" xfId="100" applyFont="1" applyFill="1" applyBorder="1" applyAlignment="1">
      <alignment horizontal="center" vertical="center" wrapText="1"/>
      <protection/>
    </xf>
    <xf numFmtId="0" fontId="23" fillId="55" borderId="45" xfId="100" applyFont="1" applyFill="1" applyBorder="1" applyAlignment="1">
      <alignment horizontal="center" vertical="center" wrapText="1"/>
      <protection/>
    </xf>
    <xf numFmtId="0" fontId="23" fillId="55" borderId="25" xfId="100" applyFont="1" applyFill="1" applyBorder="1" applyAlignment="1">
      <alignment horizontal="center" vertical="center" wrapText="1"/>
      <protection/>
    </xf>
    <xf numFmtId="0" fontId="23" fillId="55" borderId="43" xfId="100" applyFont="1" applyFill="1" applyBorder="1" applyAlignment="1">
      <alignment horizontal="center" vertical="center" wrapText="1"/>
      <protection/>
    </xf>
    <xf numFmtId="0" fontId="23" fillId="55" borderId="21" xfId="100" applyFont="1" applyFill="1" applyBorder="1" applyAlignment="1">
      <alignment horizontal="center" vertical="center" wrapText="1"/>
      <protection/>
    </xf>
    <xf numFmtId="0" fontId="23" fillId="0" borderId="33" xfId="100" applyFont="1" applyBorder="1" applyAlignment="1">
      <alignment horizontal="center" wrapText="1"/>
      <protection/>
    </xf>
    <xf numFmtId="0" fontId="23" fillId="0" borderId="32" xfId="100" applyFont="1" applyBorder="1" applyAlignment="1">
      <alignment horizontal="center" wrapText="1"/>
      <protection/>
    </xf>
    <xf numFmtId="0" fontId="24" fillId="0" borderId="38" xfId="100" applyFont="1" applyBorder="1" applyAlignment="1">
      <alignment horizontal="left" wrapText="1"/>
      <protection/>
    </xf>
    <xf numFmtId="0" fontId="24" fillId="0" borderId="39" xfId="100" applyFont="1" applyBorder="1" applyAlignment="1">
      <alignment horizontal="left" wrapText="1"/>
      <protection/>
    </xf>
    <xf numFmtId="0" fontId="24" fillId="0" borderId="40" xfId="100" applyFont="1" applyBorder="1" applyAlignment="1">
      <alignment horizontal="left" wrapText="1"/>
      <protection/>
    </xf>
    <xf numFmtId="0" fontId="24" fillId="0" borderId="41" xfId="100" applyFont="1" applyBorder="1" applyAlignment="1">
      <alignment horizontal="left" wrapText="1"/>
      <protection/>
    </xf>
    <xf numFmtId="1" fontId="23" fillId="55" borderId="28" xfId="100" applyNumberFormat="1" applyFont="1" applyFill="1" applyBorder="1" applyAlignment="1">
      <alignment horizontal="center" vertical="center" wrapText="1"/>
      <protection/>
    </xf>
    <xf numFmtId="0" fontId="23" fillId="55" borderId="27" xfId="100" applyFont="1" applyFill="1" applyBorder="1" applyAlignment="1">
      <alignment horizontal="center" vertical="center" wrapText="1"/>
      <protection/>
    </xf>
    <xf numFmtId="0" fontId="24" fillId="0" borderId="28" xfId="100" applyFont="1" applyBorder="1" applyAlignment="1">
      <alignment horizontal="left" wrapText="1"/>
      <protection/>
    </xf>
    <xf numFmtId="1" fontId="24" fillId="55" borderId="28" xfId="100" applyNumberFormat="1" applyFont="1" applyFill="1" applyBorder="1" applyAlignment="1">
      <alignment horizontal="center" vertical="center" wrapText="1"/>
      <protection/>
    </xf>
    <xf numFmtId="0" fontId="24" fillId="55" borderId="28" xfId="100" applyFont="1" applyFill="1" applyBorder="1" applyAlignment="1">
      <alignment horizontal="center" vertical="center" wrapText="1"/>
      <protection/>
    </xf>
    <xf numFmtId="0" fontId="23" fillId="55" borderId="32" xfId="100" applyFont="1" applyFill="1" applyBorder="1" applyAlignment="1">
      <alignment horizontal="center" vertical="center" wrapText="1"/>
      <protection/>
    </xf>
    <xf numFmtId="0" fontId="23" fillId="55" borderId="0" xfId="100" applyFont="1" applyFill="1" applyBorder="1" applyAlignment="1">
      <alignment horizontal="center" vertical="center" wrapText="1"/>
      <protection/>
    </xf>
    <xf numFmtId="0" fontId="23" fillId="0" borderId="28" xfId="100" applyFont="1" applyBorder="1" applyAlignment="1">
      <alignment horizontal="left" wrapText="1"/>
      <protection/>
    </xf>
    <xf numFmtId="0" fontId="28" fillId="0" borderId="28" xfId="100" applyFont="1" applyBorder="1" applyAlignment="1">
      <alignment horizontal="left" wrapText="1"/>
      <protection/>
    </xf>
    <xf numFmtId="0" fontId="24" fillId="0" borderId="0" xfId="100" applyFont="1" applyBorder="1" applyAlignment="1">
      <alignment horizontal="justify" wrapText="1"/>
      <protection/>
    </xf>
    <xf numFmtId="0" fontId="24" fillId="0" borderId="28" xfId="100" applyFont="1" applyBorder="1" applyAlignment="1">
      <alignment horizontal="justify" wrapText="1"/>
      <protection/>
    </xf>
    <xf numFmtId="0" fontId="24" fillId="0" borderId="28" xfId="100" applyFont="1" applyBorder="1" applyAlignment="1">
      <alignment horizontal="center" wrapText="1"/>
      <protection/>
    </xf>
    <xf numFmtId="0" fontId="23" fillId="55" borderId="24" xfId="100" applyFont="1" applyFill="1" applyBorder="1" applyAlignment="1">
      <alignment horizontal="center" vertical="center" wrapText="1"/>
      <protection/>
    </xf>
    <xf numFmtId="0" fontId="23" fillId="55" borderId="26" xfId="100" applyFont="1" applyFill="1" applyBorder="1" applyAlignment="1">
      <alignment horizontal="center" vertical="center" wrapText="1"/>
      <protection/>
    </xf>
    <xf numFmtId="0" fontId="24" fillId="0" borderId="32" xfId="100" applyFont="1" applyBorder="1" applyAlignment="1">
      <alignment horizontal="justify" wrapText="1"/>
      <protection/>
    </xf>
    <xf numFmtId="0" fontId="23" fillId="55" borderId="22" xfId="100" applyFont="1" applyFill="1" applyBorder="1" applyAlignment="1">
      <alignment horizontal="center" vertical="center" wrapText="1"/>
      <protection/>
    </xf>
    <xf numFmtId="0" fontId="24" fillId="0" borderId="44" xfId="100" applyFont="1" applyBorder="1" applyAlignment="1">
      <alignment horizontal="center" wrapText="1"/>
      <protection/>
    </xf>
    <xf numFmtId="0" fontId="24" fillId="0" borderId="47" xfId="100" applyFont="1" applyBorder="1" applyAlignment="1">
      <alignment horizontal="left" wrapText="1"/>
      <protection/>
    </xf>
    <xf numFmtId="0" fontId="24" fillId="0" borderId="48" xfId="100" applyFont="1" applyBorder="1" applyAlignment="1">
      <alignment horizontal="left" wrapText="1"/>
      <protection/>
    </xf>
    <xf numFmtId="0" fontId="29" fillId="0" borderId="28" xfId="100" applyFont="1" applyBorder="1" applyAlignment="1">
      <alignment horizontal="left" wrapText="1"/>
      <protection/>
    </xf>
    <xf numFmtId="0" fontId="24" fillId="0" borderId="46" xfId="101" applyFont="1" applyBorder="1" applyAlignment="1">
      <alignment horizontal="left" wrapText="1"/>
      <protection/>
    </xf>
    <xf numFmtId="0" fontId="24" fillId="0" borderId="42" xfId="101" applyFont="1" applyBorder="1" applyAlignment="1">
      <alignment horizontal="left" wrapText="1"/>
      <protection/>
    </xf>
    <xf numFmtId="0" fontId="24" fillId="0" borderId="28" xfId="101" applyFont="1" applyBorder="1" applyAlignment="1">
      <alignment horizontal="left" wrapText="1"/>
      <protection/>
    </xf>
    <xf numFmtId="0" fontId="24" fillId="0" borderId="31" xfId="101" applyFont="1" applyBorder="1" applyAlignment="1">
      <alignment horizontal="left" wrapText="1"/>
      <protection/>
    </xf>
    <xf numFmtId="0" fontId="29" fillId="0" borderId="28" xfId="101" applyFont="1" applyBorder="1" applyAlignment="1">
      <alignment horizontal="left" wrapText="1"/>
      <protection/>
    </xf>
    <xf numFmtId="0" fontId="28" fillId="0" borderId="28" xfId="101" applyFont="1" applyBorder="1" applyAlignment="1">
      <alignment horizontal="left" wrapText="1"/>
      <protection/>
    </xf>
    <xf numFmtId="0" fontId="23" fillId="55" borderId="24" xfId="101" applyFont="1" applyFill="1" applyBorder="1" applyAlignment="1">
      <alignment horizontal="center" vertical="center" wrapText="1"/>
      <protection/>
    </xf>
    <xf numFmtId="0" fontId="23" fillId="55" borderId="22" xfId="101" applyFont="1" applyFill="1" applyBorder="1" applyAlignment="1">
      <alignment horizontal="center" vertical="center" wrapText="1"/>
      <protection/>
    </xf>
    <xf numFmtId="0" fontId="24" fillId="0" borderId="44" xfId="101" applyFont="1" applyBorder="1" applyAlignment="1">
      <alignment horizontal="center" wrapText="1"/>
      <protection/>
    </xf>
    <xf numFmtId="0" fontId="24" fillId="0" borderId="47" xfId="101" applyFont="1" applyBorder="1" applyAlignment="1">
      <alignment horizontal="left" wrapText="1"/>
      <protection/>
    </xf>
    <xf numFmtId="0" fontId="24" fillId="0" borderId="48" xfId="101" applyFont="1" applyBorder="1" applyAlignment="1">
      <alignment horizontal="left" wrapText="1"/>
      <protection/>
    </xf>
    <xf numFmtId="0" fontId="23" fillId="55" borderId="33" xfId="101" applyFont="1" applyFill="1" applyBorder="1" applyAlignment="1">
      <alignment horizontal="center" vertical="center" wrapText="1"/>
      <protection/>
    </xf>
    <xf numFmtId="0" fontId="23" fillId="55" borderId="23" xfId="101" applyFont="1" applyFill="1" applyBorder="1" applyAlignment="1">
      <alignment horizontal="center" vertical="center" wrapText="1"/>
      <protection/>
    </xf>
    <xf numFmtId="0" fontId="23" fillId="55" borderId="45" xfId="101" applyFont="1" applyFill="1" applyBorder="1" applyAlignment="1">
      <alignment horizontal="center" vertical="center" wrapText="1"/>
      <protection/>
    </xf>
    <xf numFmtId="0" fontId="23" fillId="55" borderId="25" xfId="101" applyFont="1" applyFill="1" applyBorder="1" applyAlignment="1">
      <alignment horizontal="center" vertical="center" wrapText="1"/>
      <protection/>
    </xf>
    <xf numFmtId="0" fontId="24" fillId="0" borderId="49" xfId="101" applyFont="1" applyBorder="1" applyAlignment="1">
      <alignment horizontal="left" wrapText="1"/>
      <protection/>
    </xf>
    <xf numFmtId="0" fontId="24" fillId="0" borderId="50" xfId="101" applyFont="1" applyBorder="1" applyAlignment="1">
      <alignment horizontal="left" wrapText="1"/>
      <protection/>
    </xf>
    <xf numFmtId="0" fontId="24" fillId="0" borderId="28" xfId="101" applyFont="1" applyBorder="1" applyAlignment="1">
      <alignment horizontal="center" wrapText="1"/>
      <protection/>
    </xf>
    <xf numFmtId="0" fontId="24" fillId="0" borderId="0" xfId="101" applyFont="1" applyBorder="1" applyAlignment="1">
      <alignment horizontal="justify" wrapText="1"/>
      <protection/>
    </xf>
    <xf numFmtId="0" fontId="24" fillId="0" borderId="32" xfId="101" applyFont="1" applyBorder="1" applyAlignment="1">
      <alignment horizontal="justify" wrapText="1"/>
      <protection/>
    </xf>
    <xf numFmtId="0" fontId="24" fillId="0" borderId="28" xfId="101" applyFont="1" applyBorder="1" applyAlignment="1">
      <alignment horizontal="justify" wrapText="1"/>
      <protection/>
    </xf>
    <xf numFmtId="0" fontId="23" fillId="55" borderId="43" xfId="101" applyFont="1" applyFill="1" applyBorder="1" applyAlignment="1">
      <alignment horizontal="center" vertical="center" wrapText="1"/>
      <protection/>
    </xf>
    <xf numFmtId="0" fontId="23" fillId="55" borderId="20" xfId="101" applyFont="1" applyFill="1" applyBorder="1" applyAlignment="1">
      <alignment horizontal="center" vertical="center" wrapText="1"/>
      <protection/>
    </xf>
    <xf numFmtId="0" fontId="23" fillId="0" borderId="46" xfId="101" applyFont="1" applyBorder="1" applyAlignment="1">
      <alignment horizontal="left" wrapText="1"/>
      <protection/>
    </xf>
    <xf numFmtId="0" fontId="23" fillId="0" borderId="42" xfId="101" applyFont="1" applyBorder="1" applyAlignment="1">
      <alignment horizontal="left" wrapText="1"/>
      <protection/>
    </xf>
    <xf numFmtId="0" fontId="24" fillId="0" borderId="46" xfId="101" applyFont="1" applyBorder="1" applyAlignment="1">
      <alignment horizontal="center" wrapText="1"/>
      <protection/>
    </xf>
    <xf numFmtId="0" fontId="24" fillId="0" borderId="42" xfId="101" applyFont="1" applyBorder="1" applyAlignment="1">
      <alignment horizontal="center" wrapText="1"/>
      <protection/>
    </xf>
    <xf numFmtId="0" fontId="23" fillId="0" borderId="28" xfId="101" applyFont="1" applyBorder="1" applyAlignment="1">
      <alignment horizontal="left" wrapText="1"/>
      <protection/>
    </xf>
    <xf numFmtId="1" fontId="23" fillId="55" borderId="28" xfId="101" applyNumberFormat="1" applyFont="1" applyFill="1" applyBorder="1" applyAlignment="1">
      <alignment horizontal="center" vertical="center" wrapText="1"/>
      <protection/>
    </xf>
    <xf numFmtId="0" fontId="23" fillId="55" borderId="32" xfId="101" applyFont="1" applyFill="1" applyBorder="1" applyAlignment="1">
      <alignment horizontal="center" vertical="center" wrapText="1"/>
      <protection/>
    </xf>
    <xf numFmtId="0" fontId="23" fillId="55" borderId="35" xfId="101" applyFont="1" applyFill="1" applyBorder="1" applyAlignment="1">
      <alignment horizontal="center" vertical="center" wrapText="1"/>
      <protection/>
    </xf>
    <xf numFmtId="1" fontId="24" fillId="55" borderId="28" xfId="101" applyNumberFormat="1" applyFont="1" applyFill="1" applyBorder="1" applyAlignment="1">
      <alignment horizontal="center" vertical="center" wrapText="1"/>
      <protection/>
    </xf>
    <xf numFmtId="0" fontId="23" fillId="0" borderId="31" xfId="101" applyFont="1" applyBorder="1" applyAlignment="1">
      <alignment horizontal="center" wrapText="1"/>
      <protection/>
    </xf>
    <xf numFmtId="0" fontId="24" fillId="0" borderId="38" xfId="101" applyFont="1" applyBorder="1" applyAlignment="1">
      <alignment horizontal="left" wrapText="1"/>
      <protection/>
    </xf>
    <xf numFmtId="0" fontId="24" fillId="0" borderId="39" xfId="101" applyFont="1" applyBorder="1" applyAlignment="1">
      <alignment horizontal="left" wrapText="1"/>
      <protection/>
    </xf>
    <xf numFmtId="0" fontId="23" fillId="55" borderId="21" xfId="101" applyFont="1" applyFill="1" applyBorder="1" applyAlignment="1">
      <alignment horizontal="center" vertical="center" wrapText="1"/>
      <protection/>
    </xf>
    <xf numFmtId="1" fontId="24" fillId="55" borderId="31" xfId="101" applyNumberFormat="1" applyFont="1" applyFill="1" applyBorder="1" applyAlignment="1">
      <alignment horizontal="center" vertical="center" wrapText="1"/>
      <protection/>
    </xf>
    <xf numFmtId="0" fontId="24" fillId="0" borderId="43" xfId="101" applyFont="1" applyBorder="1" applyAlignment="1">
      <alignment horizontal="center" wrapText="1"/>
      <protection/>
    </xf>
    <xf numFmtId="0" fontId="24" fillId="0" borderId="20" xfId="101" applyFont="1" applyBorder="1" applyAlignment="1">
      <alignment horizontal="center" wrapText="1"/>
      <protection/>
    </xf>
    <xf numFmtId="0" fontId="24" fillId="0" borderId="28" xfId="101" applyFont="1" applyBorder="1" applyAlignment="1">
      <alignment horizontal="center" vertical="top" wrapText="1"/>
      <protection/>
    </xf>
    <xf numFmtId="0" fontId="24" fillId="0" borderId="46" xfId="101" applyFont="1" applyBorder="1" applyAlignment="1">
      <alignment horizontal="left" vertical="top" wrapText="1"/>
      <protection/>
    </xf>
    <xf numFmtId="0" fontId="24" fillId="0" borderId="51" xfId="101" applyFont="1" applyBorder="1" applyAlignment="1">
      <alignment horizontal="left" vertical="top" wrapText="1"/>
      <protection/>
    </xf>
    <xf numFmtId="0" fontId="24" fillId="0" borderId="42" xfId="101" applyFont="1" applyBorder="1" applyAlignment="1">
      <alignment horizontal="left" vertical="top" wrapText="1"/>
      <protection/>
    </xf>
    <xf numFmtId="0" fontId="21" fillId="0" borderId="0" xfId="101" applyFont="1" applyAlignment="1">
      <alignment horizontal="center"/>
      <protection/>
    </xf>
    <xf numFmtId="0" fontId="22" fillId="0" borderId="0" xfId="101" applyFont="1" applyAlignment="1">
      <alignment horizontal="center"/>
      <protection/>
    </xf>
    <xf numFmtId="0" fontId="27" fillId="0" borderId="21" xfId="101" applyFont="1" applyBorder="1" applyAlignment="1">
      <alignment horizontal="left" wrapText="1"/>
      <protection/>
    </xf>
    <xf numFmtId="0" fontId="27" fillId="0" borderId="20" xfId="101" applyFont="1" applyBorder="1" applyAlignment="1">
      <alignment horizontal="left" wrapText="1"/>
      <protection/>
    </xf>
    <xf numFmtId="0" fontId="24" fillId="0" borderId="28" xfId="103" applyFont="1" applyBorder="1" applyAlignment="1">
      <alignment horizontal="left" wrapText="1"/>
      <protection/>
    </xf>
    <xf numFmtId="0" fontId="24" fillId="0" borderId="0" xfId="103" applyFont="1" applyBorder="1" applyAlignment="1">
      <alignment horizontal="justify" wrapText="1"/>
      <protection/>
    </xf>
    <xf numFmtId="0" fontId="24" fillId="0" borderId="28" xfId="103" applyFont="1" applyBorder="1" applyAlignment="1">
      <alignment horizontal="justify" wrapText="1"/>
      <protection/>
    </xf>
    <xf numFmtId="0" fontId="29" fillId="0" borderId="28" xfId="103" applyFont="1" applyBorder="1" applyAlignment="1">
      <alignment horizontal="left" wrapText="1"/>
      <protection/>
    </xf>
    <xf numFmtId="0" fontId="28" fillId="0" borderId="28" xfId="103" applyFont="1" applyBorder="1" applyAlignment="1">
      <alignment horizontal="left" wrapText="1"/>
      <protection/>
    </xf>
    <xf numFmtId="0" fontId="23" fillId="55" borderId="24" xfId="103" applyFont="1" applyFill="1" applyBorder="1" applyAlignment="1">
      <alignment horizontal="center" vertical="center" wrapText="1"/>
      <protection/>
    </xf>
    <xf numFmtId="0" fontId="23" fillId="55" borderId="26" xfId="103" applyFont="1" applyFill="1" applyBorder="1" applyAlignment="1">
      <alignment horizontal="center" vertical="center" wrapText="1"/>
      <protection/>
    </xf>
    <xf numFmtId="0" fontId="24" fillId="0" borderId="32" xfId="103" applyFont="1" applyBorder="1" applyAlignment="1">
      <alignment horizontal="justify" wrapText="1"/>
      <protection/>
    </xf>
    <xf numFmtId="0" fontId="23" fillId="55" borderId="22" xfId="103" applyFont="1" applyFill="1" applyBorder="1" applyAlignment="1">
      <alignment horizontal="center" vertical="center" wrapText="1"/>
      <protection/>
    </xf>
    <xf numFmtId="0" fontId="24" fillId="0" borderId="26" xfId="103" applyFont="1" applyBorder="1" applyAlignment="1">
      <alignment horizontal="center" wrapText="1"/>
      <protection/>
    </xf>
    <xf numFmtId="0" fontId="24" fillId="0" borderId="44" xfId="103" applyFont="1" applyBorder="1" applyAlignment="1">
      <alignment horizontal="left" wrapText="1"/>
      <protection/>
    </xf>
    <xf numFmtId="0" fontId="24" fillId="0" borderId="0" xfId="103" applyFont="1" applyBorder="1" applyAlignment="1">
      <alignment horizontal="left" wrapText="1"/>
      <protection/>
    </xf>
    <xf numFmtId="0" fontId="24" fillId="0" borderId="28" xfId="103" applyFont="1" applyBorder="1" applyAlignment="1">
      <alignment horizontal="center" wrapText="1"/>
      <protection/>
    </xf>
    <xf numFmtId="0" fontId="23" fillId="55" borderId="33" xfId="103" applyFont="1" applyFill="1" applyBorder="1" applyAlignment="1">
      <alignment horizontal="center" vertical="center" wrapText="1"/>
      <protection/>
    </xf>
    <xf numFmtId="0" fontId="23" fillId="55" borderId="23" xfId="103" applyFont="1" applyFill="1" applyBorder="1" applyAlignment="1">
      <alignment horizontal="center" vertical="center" wrapText="1"/>
      <protection/>
    </xf>
    <xf numFmtId="0" fontId="23" fillId="55" borderId="44" xfId="103" applyFont="1" applyFill="1" applyBorder="1" applyAlignment="1">
      <alignment horizontal="center" vertical="center" wrapText="1"/>
      <protection/>
    </xf>
    <xf numFmtId="0" fontId="23" fillId="55" borderId="27" xfId="103" applyFont="1" applyFill="1" applyBorder="1" applyAlignment="1">
      <alignment horizontal="center" vertical="center" wrapText="1"/>
      <protection/>
    </xf>
    <xf numFmtId="0" fontId="23" fillId="55" borderId="43" xfId="103" applyFont="1" applyFill="1" applyBorder="1" applyAlignment="1">
      <alignment horizontal="center" vertical="center" wrapText="1"/>
      <protection/>
    </xf>
    <xf numFmtId="0" fontId="23" fillId="55" borderId="21" xfId="103" applyFont="1" applyFill="1" applyBorder="1" applyAlignment="1">
      <alignment horizontal="center" vertical="center" wrapText="1"/>
      <protection/>
    </xf>
    <xf numFmtId="0" fontId="23" fillId="0" borderId="28" xfId="103" applyFont="1" applyBorder="1" applyAlignment="1">
      <alignment horizontal="left" wrapText="1"/>
      <protection/>
    </xf>
    <xf numFmtId="0" fontId="23" fillId="55" borderId="28" xfId="103" applyFont="1" applyFill="1" applyBorder="1" applyAlignment="1">
      <alignment horizontal="center" vertical="center" wrapText="1"/>
      <protection/>
    </xf>
    <xf numFmtId="0" fontId="23" fillId="55" borderId="32" xfId="103" applyFont="1" applyFill="1" applyBorder="1" applyAlignment="1">
      <alignment horizontal="center" vertical="center" wrapText="1"/>
      <protection/>
    </xf>
    <xf numFmtId="0" fontId="23" fillId="55" borderId="0" xfId="103" applyFont="1" applyFill="1" applyBorder="1" applyAlignment="1">
      <alignment horizontal="center" vertical="center" wrapText="1"/>
      <protection/>
    </xf>
    <xf numFmtId="1" fontId="23" fillId="55" borderId="28" xfId="103" applyNumberFormat="1" applyFont="1" applyFill="1" applyBorder="1" applyAlignment="1">
      <alignment horizontal="center" vertical="center" wrapText="1"/>
      <protection/>
    </xf>
    <xf numFmtId="0" fontId="24" fillId="0" borderId="43" xfId="103" applyFont="1" applyBorder="1" applyAlignment="1">
      <alignment horizontal="center" wrapText="1"/>
      <protection/>
    </xf>
    <xf numFmtId="0" fontId="24" fillId="0" borderId="20" xfId="103" applyFont="1" applyBorder="1" applyAlignment="1">
      <alignment horizontal="center" wrapText="1"/>
      <protection/>
    </xf>
    <xf numFmtId="0" fontId="27" fillId="0" borderId="43" xfId="103" applyFont="1" applyBorder="1" applyAlignment="1">
      <alignment horizontal="left" wrapText="1"/>
      <protection/>
    </xf>
    <xf numFmtId="0" fontId="27" fillId="0" borderId="20" xfId="103" applyFont="1" applyBorder="1" applyAlignment="1">
      <alignment horizontal="left" wrapText="1"/>
      <protection/>
    </xf>
    <xf numFmtId="0" fontId="24" fillId="0" borderId="43" xfId="103" applyFont="1" applyBorder="1" applyAlignment="1">
      <alignment horizontal="center" vertical="top" wrapText="1"/>
      <protection/>
    </xf>
    <xf numFmtId="0" fontId="24" fillId="0" borderId="21" xfId="103" applyFont="1" applyBorder="1" applyAlignment="1">
      <alignment horizontal="center" vertical="top" wrapText="1"/>
      <protection/>
    </xf>
    <xf numFmtId="0" fontId="24" fillId="0" borderId="20" xfId="103" applyFont="1" applyBorder="1" applyAlignment="1">
      <alignment horizontal="center" vertical="top" wrapText="1"/>
      <protection/>
    </xf>
    <xf numFmtId="0" fontId="23" fillId="55" borderId="45" xfId="103" applyFont="1" applyFill="1" applyBorder="1" applyAlignment="1">
      <alignment horizontal="center" vertical="center" wrapText="1"/>
      <protection/>
    </xf>
    <xf numFmtId="0" fontId="23" fillId="55" borderId="25" xfId="103" applyFont="1" applyFill="1" applyBorder="1" applyAlignment="1">
      <alignment horizontal="center" vertical="center" wrapText="1"/>
      <protection/>
    </xf>
    <xf numFmtId="0" fontId="23" fillId="0" borderId="33" xfId="103" applyFont="1" applyBorder="1" applyAlignment="1">
      <alignment horizontal="center" wrapText="1"/>
      <protection/>
    </xf>
    <xf numFmtId="0" fontId="23" fillId="0" borderId="32" xfId="103" applyFont="1" applyBorder="1" applyAlignment="1">
      <alignment horizontal="center" wrapText="1"/>
      <protection/>
    </xf>
    <xf numFmtId="0" fontId="21" fillId="0" borderId="0" xfId="103" applyFont="1" applyAlignment="1">
      <alignment horizontal="center"/>
      <protection/>
    </xf>
    <xf numFmtId="0" fontId="22" fillId="0" borderId="0" xfId="103" applyFont="1" applyAlignment="1">
      <alignment horizontal="center"/>
      <protection/>
    </xf>
    <xf numFmtId="0" fontId="36" fillId="0" borderId="43" xfId="103" applyFont="1" applyBorder="1" applyAlignment="1">
      <alignment horizontal="left" wrapText="1"/>
      <protection/>
    </xf>
    <xf numFmtId="0" fontId="36" fillId="0" borderId="20" xfId="103" applyFont="1" applyBorder="1" applyAlignment="1">
      <alignment horizontal="left" wrapText="1"/>
      <protection/>
    </xf>
    <xf numFmtId="0" fontId="24" fillId="0" borderId="28" xfId="98" applyFont="1" applyBorder="1" applyAlignment="1">
      <alignment horizontal="left" wrapText="1"/>
      <protection/>
    </xf>
    <xf numFmtId="0" fontId="24" fillId="0" borderId="0" xfId="98" applyFont="1" applyBorder="1" applyAlignment="1">
      <alignment horizontal="justify" wrapText="1"/>
      <protection/>
    </xf>
    <xf numFmtId="0" fontId="24" fillId="0" borderId="28" xfId="98" applyFont="1" applyBorder="1" applyAlignment="1">
      <alignment horizontal="justify" wrapText="1"/>
      <protection/>
    </xf>
    <xf numFmtId="0" fontId="29" fillId="0" borderId="28" xfId="98" applyFont="1" applyBorder="1" applyAlignment="1">
      <alignment horizontal="left" wrapText="1"/>
      <protection/>
    </xf>
    <xf numFmtId="0" fontId="28" fillId="0" borderId="28" xfId="98" applyFont="1" applyBorder="1" applyAlignment="1">
      <alignment horizontal="left" wrapText="1"/>
      <protection/>
    </xf>
    <xf numFmtId="0" fontId="23" fillId="55" borderId="24" xfId="98" applyFont="1" applyFill="1" applyBorder="1" applyAlignment="1">
      <alignment horizontal="center" vertical="center" wrapText="1"/>
      <protection/>
    </xf>
    <xf numFmtId="0" fontId="23" fillId="55" borderId="26" xfId="98" applyFont="1" applyFill="1" applyBorder="1" applyAlignment="1">
      <alignment horizontal="center" vertical="center" wrapText="1"/>
      <protection/>
    </xf>
    <xf numFmtId="0" fontId="24" fillId="0" borderId="32" xfId="98" applyFont="1" applyBorder="1" applyAlignment="1">
      <alignment horizontal="justify" wrapText="1"/>
      <protection/>
    </xf>
    <xf numFmtId="0" fontId="23" fillId="55" borderId="22" xfId="98" applyFont="1" applyFill="1" applyBorder="1" applyAlignment="1">
      <alignment horizontal="center" vertical="center" wrapText="1"/>
      <protection/>
    </xf>
    <xf numFmtId="0" fontId="24" fillId="0" borderId="26" xfId="98" applyFont="1" applyBorder="1" applyAlignment="1">
      <alignment horizontal="center" wrapText="1"/>
      <protection/>
    </xf>
    <xf numFmtId="0" fontId="24" fillId="0" borderId="44" xfId="98" applyFont="1" applyBorder="1" applyAlignment="1">
      <alignment horizontal="left" wrapText="1"/>
      <protection/>
    </xf>
    <xf numFmtId="0" fontId="24" fillId="0" borderId="0" xfId="98" applyFont="1" applyBorder="1" applyAlignment="1">
      <alignment horizontal="left" wrapText="1"/>
      <protection/>
    </xf>
    <xf numFmtId="0" fontId="24" fillId="0" borderId="28" xfId="98" applyFont="1" applyBorder="1" applyAlignment="1">
      <alignment horizontal="center" wrapText="1"/>
      <protection/>
    </xf>
    <xf numFmtId="0" fontId="23" fillId="55" borderId="33" xfId="98" applyFont="1" applyFill="1" applyBorder="1" applyAlignment="1">
      <alignment horizontal="center" vertical="center" wrapText="1"/>
      <protection/>
    </xf>
    <xf numFmtId="0" fontId="23" fillId="55" borderId="23" xfId="98" applyFont="1" applyFill="1" applyBorder="1" applyAlignment="1">
      <alignment horizontal="center" vertical="center" wrapText="1"/>
      <protection/>
    </xf>
    <xf numFmtId="0" fontId="23" fillId="55" borderId="44" xfId="98" applyFont="1" applyFill="1" applyBorder="1" applyAlignment="1">
      <alignment horizontal="center" vertical="center" wrapText="1"/>
      <protection/>
    </xf>
    <xf numFmtId="0" fontId="23" fillId="55" borderId="27" xfId="98" applyFont="1" applyFill="1" applyBorder="1" applyAlignment="1">
      <alignment horizontal="center" vertical="center" wrapText="1"/>
      <protection/>
    </xf>
    <xf numFmtId="0" fontId="23" fillId="55" borderId="43" xfId="98" applyFont="1" applyFill="1" applyBorder="1" applyAlignment="1">
      <alignment horizontal="center" vertical="center" wrapText="1"/>
      <protection/>
    </xf>
    <xf numFmtId="0" fontId="23" fillId="55" borderId="21" xfId="98" applyFont="1" applyFill="1" applyBorder="1" applyAlignment="1">
      <alignment horizontal="center" vertical="center" wrapText="1"/>
      <protection/>
    </xf>
    <xf numFmtId="0" fontId="23" fillId="0" borderId="28" xfId="98" applyFont="1" applyBorder="1" applyAlignment="1">
      <alignment horizontal="left" wrapText="1"/>
      <protection/>
    </xf>
    <xf numFmtId="0" fontId="23" fillId="55" borderId="28" xfId="98" applyFont="1" applyFill="1" applyBorder="1" applyAlignment="1">
      <alignment horizontal="center" vertical="center" wrapText="1"/>
      <protection/>
    </xf>
    <xf numFmtId="0" fontId="23" fillId="55" borderId="32" xfId="98" applyFont="1" applyFill="1" applyBorder="1" applyAlignment="1">
      <alignment horizontal="center" vertical="center" wrapText="1"/>
      <protection/>
    </xf>
    <xf numFmtId="0" fontId="23" fillId="55" borderId="0" xfId="98" applyFont="1" applyFill="1" applyBorder="1" applyAlignment="1">
      <alignment horizontal="center" vertical="center" wrapText="1"/>
      <protection/>
    </xf>
    <xf numFmtId="1" fontId="23" fillId="55" borderId="28" xfId="98" applyNumberFormat="1" applyFont="1" applyFill="1" applyBorder="1" applyAlignment="1">
      <alignment horizontal="center" vertical="center" wrapText="1"/>
      <protection/>
    </xf>
    <xf numFmtId="0" fontId="24" fillId="0" borderId="43" xfId="98" applyFont="1" applyBorder="1" applyAlignment="1">
      <alignment horizontal="center" wrapText="1"/>
      <protection/>
    </xf>
    <xf numFmtId="0" fontId="24" fillId="0" borderId="20" xfId="98" applyFont="1" applyBorder="1" applyAlignment="1">
      <alignment horizontal="center" wrapText="1"/>
      <protection/>
    </xf>
    <xf numFmtId="0" fontId="27" fillId="0" borderId="43" xfId="98" applyFont="1" applyBorder="1" applyAlignment="1">
      <alignment horizontal="left" wrapText="1"/>
      <protection/>
    </xf>
    <xf numFmtId="0" fontId="27" fillId="0" borderId="20" xfId="98" applyFont="1" applyBorder="1" applyAlignment="1">
      <alignment horizontal="left" wrapText="1"/>
      <protection/>
    </xf>
    <xf numFmtId="0" fontId="24" fillId="0" borderId="43" xfId="98" applyFont="1" applyBorder="1" applyAlignment="1">
      <alignment horizontal="center" vertical="top" wrapText="1"/>
      <protection/>
    </xf>
    <xf numFmtId="0" fontId="24" fillId="0" borderId="21" xfId="98" applyFont="1" applyBorder="1" applyAlignment="1">
      <alignment horizontal="center" vertical="top" wrapText="1"/>
      <protection/>
    </xf>
    <xf numFmtId="0" fontId="24" fillId="0" borderId="20" xfId="98" applyFont="1" applyBorder="1" applyAlignment="1">
      <alignment horizontal="center" vertical="top" wrapText="1"/>
      <protection/>
    </xf>
    <xf numFmtId="0" fontId="23" fillId="55" borderId="45" xfId="98" applyFont="1" applyFill="1" applyBorder="1" applyAlignment="1">
      <alignment horizontal="center" vertical="center" wrapText="1"/>
      <protection/>
    </xf>
    <xf numFmtId="0" fontId="23" fillId="55" borderId="25" xfId="98" applyFont="1" applyFill="1" applyBorder="1" applyAlignment="1">
      <alignment horizontal="center" vertical="center" wrapText="1"/>
      <protection/>
    </xf>
    <xf numFmtId="0" fontId="23" fillId="0" borderId="33" xfId="98" applyFont="1" applyBorder="1" applyAlignment="1">
      <alignment horizontal="center" wrapText="1"/>
      <protection/>
    </xf>
    <xf numFmtId="0" fontId="23" fillId="0" borderId="32" xfId="98" applyFont="1" applyBorder="1" applyAlignment="1">
      <alignment horizontal="center" wrapText="1"/>
      <protection/>
    </xf>
    <xf numFmtId="0" fontId="21" fillId="0" borderId="0" xfId="98" applyFont="1" applyAlignment="1">
      <alignment horizontal="center"/>
      <protection/>
    </xf>
    <xf numFmtId="0" fontId="22" fillId="0" borderId="0" xfId="98" applyFont="1" applyAlignment="1">
      <alignment horizontal="center"/>
      <protection/>
    </xf>
    <xf numFmtId="0" fontId="36" fillId="0" borderId="43" xfId="98" applyFont="1" applyBorder="1" applyAlignment="1">
      <alignment horizontal="left" wrapText="1"/>
      <protection/>
    </xf>
    <xf numFmtId="0" fontId="36" fillId="0" borderId="20" xfId="98" applyFont="1" applyBorder="1" applyAlignment="1">
      <alignment horizontal="left" wrapText="1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Акцент1" xfId="79"/>
    <cellStyle name="Акцент2" xfId="80"/>
    <cellStyle name="Акцент3" xfId="81"/>
    <cellStyle name="Акцент4" xfId="82"/>
    <cellStyle name="Акцент5" xfId="83"/>
    <cellStyle name="Акцент6" xfId="84"/>
    <cellStyle name="Ввод " xfId="85"/>
    <cellStyle name="Вывод" xfId="86"/>
    <cellStyle name="Вычисление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_Bastina" xfId="96"/>
    <cellStyle name="Обычный_Buna seara" xfId="97"/>
    <cellStyle name="Обычный_Cinemateca universala" xfId="98"/>
    <cellStyle name="Обычный_Cuvintele credintei" xfId="99"/>
    <cellStyle name="Обычный_Domnului sa ne rugam" xfId="100"/>
    <cellStyle name="Обычный_fisa costurilor cultura 6" xfId="101"/>
    <cellStyle name="Обычный_Focus" xfId="102"/>
    <cellStyle name="Обычный_Legendele muzicii" xfId="103"/>
    <cellStyle name="Обычный_Profil de savant" xfId="104"/>
    <cellStyle name="Обычный_TVMI 6" xfId="105"/>
    <cellStyle name="Обычный_Un sfert de vorba" xfId="106"/>
    <cellStyle name="Плохой" xfId="107"/>
    <cellStyle name="Пояснение" xfId="108"/>
    <cellStyle name="Примечание" xfId="109"/>
    <cellStyle name="Связанная ячейка" xfId="110"/>
    <cellStyle name="Текст предупреждения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95">
      <selection activeCell="F21" sqref="F21"/>
    </sheetView>
  </sheetViews>
  <sheetFormatPr defaultColWidth="9.00390625" defaultRowHeight="12.75"/>
  <cols>
    <col min="1" max="1" width="5.625" style="2" customWidth="1"/>
    <col min="2" max="2" width="16.00390625" style="2" customWidth="1"/>
    <col min="3" max="3" width="32.125" style="2" customWidth="1"/>
    <col min="4" max="4" width="9.625" style="2" customWidth="1"/>
    <col min="5" max="5" width="13.625" style="2" customWidth="1"/>
    <col min="6" max="7" width="11.875" style="2" customWidth="1"/>
    <col min="8" max="16384" width="9.125" style="2" customWidth="1"/>
  </cols>
  <sheetData>
    <row r="1" spans="1:4" ht="18">
      <c r="A1" s="1" t="s">
        <v>0</v>
      </c>
      <c r="D1" s="1" t="s">
        <v>1</v>
      </c>
    </row>
    <row r="2" spans="1:4" ht="18">
      <c r="A2" s="1" t="s">
        <v>2</v>
      </c>
      <c r="D2" s="3" t="s">
        <v>3</v>
      </c>
    </row>
    <row r="3" ht="18">
      <c r="D3" s="3" t="s">
        <v>4</v>
      </c>
    </row>
    <row r="7" spans="1:7" ht="18">
      <c r="A7" s="449" t="s">
        <v>5</v>
      </c>
      <c r="B7" s="449"/>
      <c r="C7" s="449"/>
      <c r="D7" s="449"/>
      <c r="E7" s="449"/>
      <c r="F7" s="449"/>
      <c r="G7" s="449"/>
    </row>
    <row r="8" spans="1:7" ht="18">
      <c r="A8" s="450" t="s">
        <v>6</v>
      </c>
      <c r="B8" s="450"/>
      <c r="C8" s="450"/>
      <c r="D8" s="450"/>
      <c r="E8" s="450"/>
      <c r="F8" s="450"/>
      <c r="G8" s="450"/>
    </row>
    <row r="9" spans="1:7" ht="18">
      <c r="A9" s="449" t="s">
        <v>7</v>
      </c>
      <c r="B9" s="449"/>
      <c r="C9" s="449"/>
      <c r="D9" s="449"/>
      <c r="E9" s="449"/>
      <c r="F9" s="449"/>
      <c r="G9" s="449"/>
    </row>
    <row r="14" ht="14.25">
      <c r="A14" s="4" t="s">
        <v>8</v>
      </c>
    </row>
    <row r="15" ht="13.5" thickBot="1"/>
    <row r="16" spans="1:7" ht="42.75" customHeight="1" thickBot="1">
      <c r="A16" s="5" t="s">
        <v>9</v>
      </c>
      <c r="B16" s="6" t="s">
        <v>10</v>
      </c>
      <c r="C16" s="6" t="s">
        <v>11</v>
      </c>
      <c r="D16" s="456" t="s">
        <v>12</v>
      </c>
      <c r="E16" s="457"/>
      <c r="F16" s="456" t="s">
        <v>13</v>
      </c>
      <c r="G16" s="457"/>
    </row>
    <row r="17" ht="13.5" thickBot="1">
      <c r="A17" s="8"/>
    </row>
    <row r="18" spans="1:7" ht="43.5" customHeight="1" thickBot="1">
      <c r="A18" s="5" t="s">
        <v>14</v>
      </c>
      <c r="B18" s="6" t="s">
        <v>15</v>
      </c>
      <c r="C18" s="6" t="s">
        <v>16</v>
      </c>
      <c r="D18" s="456" t="s">
        <v>17</v>
      </c>
      <c r="E18" s="457"/>
      <c r="F18" s="456" t="s">
        <v>18</v>
      </c>
      <c r="G18" s="457"/>
    </row>
    <row r="19" ht="13.5" thickBot="1">
      <c r="A19" s="8"/>
    </row>
    <row r="20" spans="1:7" ht="43.5" customHeight="1" thickBot="1">
      <c r="A20" s="5" t="s">
        <v>19</v>
      </c>
      <c r="B20" s="6" t="s">
        <v>20</v>
      </c>
      <c r="C20" s="7">
        <v>36</v>
      </c>
      <c r="D20" s="456" t="s">
        <v>21</v>
      </c>
      <c r="E20" s="457"/>
      <c r="F20" s="456" t="s">
        <v>608</v>
      </c>
      <c r="G20" s="457"/>
    </row>
    <row r="21" ht="13.5" thickBot="1">
      <c r="A21" s="8"/>
    </row>
    <row r="22" spans="1:7" ht="43.5" customHeight="1" thickBot="1">
      <c r="A22" s="5" t="s">
        <v>22</v>
      </c>
      <c r="B22" s="6" t="s">
        <v>23</v>
      </c>
      <c r="C22" s="6" t="s">
        <v>24</v>
      </c>
      <c r="D22" s="456" t="s">
        <v>25</v>
      </c>
      <c r="E22" s="457"/>
      <c r="F22" s="456"/>
      <c r="G22" s="457"/>
    </row>
    <row r="23" ht="13.5" thickBot="1">
      <c r="A23" s="8"/>
    </row>
    <row r="24" spans="1:7" ht="29.25" customHeight="1" thickBot="1">
      <c r="A24" s="5" t="s">
        <v>26</v>
      </c>
      <c r="B24" s="6" t="s">
        <v>27</v>
      </c>
      <c r="C24" s="9" t="s">
        <v>28</v>
      </c>
      <c r="D24" s="454" t="s">
        <v>29</v>
      </c>
      <c r="E24" s="455"/>
      <c r="F24" s="454" t="s">
        <v>30</v>
      </c>
      <c r="G24" s="455"/>
    </row>
    <row r="25" ht="13.5" thickBot="1">
      <c r="A25" s="8"/>
    </row>
    <row r="26" spans="1:7" ht="15" thickBot="1">
      <c r="A26" s="10" t="s">
        <v>31</v>
      </c>
      <c r="B26" s="11" t="s">
        <v>32</v>
      </c>
      <c r="C26" s="451" t="s">
        <v>33</v>
      </c>
      <c r="D26" s="452"/>
      <c r="E26" s="452"/>
      <c r="F26" s="452"/>
      <c r="G26" s="453"/>
    </row>
    <row r="27" spans="1:7" ht="15" thickBot="1">
      <c r="A27" s="12"/>
      <c r="B27" s="451" t="s">
        <v>34</v>
      </c>
      <c r="C27" s="452"/>
      <c r="D27" s="452"/>
      <c r="E27" s="452"/>
      <c r="F27" s="452"/>
      <c r="G27" s="453"/>
    </row>
    <row r="28" spans="1:7" ht="15" thickBot="1">
      <c r="A28" s="12"/>
      <c r="B28" s="451"/>
      <c r="C28" s="452"/>
      <c r="D28" s="452"/>
      <c r="E28" s="452"/>
      <c r="F28" s="452"/>
      <c r="G28" s="453"/>
    </row>
    <row r="30" ht="14.25">
      <c r="A30" s="4" t="s">
        <v>35</v>
      </c>
    </row>
    <row r="31" ht="14.25">
      <c r="A31" s="4"/>
    </row>
    <row r="32" ht="15" thickBot="1">
      <c r="A32" s="13" t="s">
        <v>36</v>
      </c>
    </row>
    <row r="33" spans="1:7" ht="28.5">
      <c r="A33" s="485" t="s">
        <v>37</v>
      </c>
      <c r="B33" s="460" t="s">
        <v>38</v>
      </c>
      <c r="C33" s="461"/>
      <c r="D33" s="14" t="s">
        <v>39</v>
      </c>
      <c r="E33" s="15" t="s">
        <v>207</v>
      </c>
      <c r="F33" s="15" t="s">
        <v>40</v>
      </c>
      <c r="G33" s="15" t="s">
        <v>41</v>
      </c>
    </row>
    <row r="34" spans="1:7" ht="18.75" customHeight="1" thickBot="1">
      <c r="A34" s="487"/>
      <c r="B34" s="463"/>
      <c r="C34" s="464"/>
      <c r="D34" s="16"/>
      <c r="E34" s="17"/>
      <c r="F34" s="17"/>
      <c r="G34" s="17"/>
    </row>
    <row r="35" spans="1:7" ht="14.25">
      <c r="A35" s="18">
        <v>1</v>
      </c>
      <c r="B35" s="465">
        <v>2</v>
      </c>
      <c r="C35" s="466"/>
      <c r="D35" s="19">
        <v>3</v>
      </c>
      <c r="E35" s="20">
        <v>4</v>
      </c>
      <c r="F35" s="20">
        <v>5</v>
      </c>
      <c r="G35" s="20">
        <v>6</v>
      </c>
    </row>
    <row r="36" spans="1:7" ht="15" customHeight="1">
      <c r="A36" s="21" t="s">
        <v>9</v>
      </c>
      <c r="B36" s="470" t="s">
        <v>42</v>
      </c>
      <c r="C36" s="470"/>
      <c r="D36" s="21" t="s">
        <v>43</v>
      </c>
      <c r="E36" s="22" t="s">
        <v>44</v>
      </c>
      <c r="F36" s="23">
        <f>(F50+F51)/2/40</f>
        <v>2.2979760119940034</v>
      </c>
      <c r="G36" s="24">
        <f>4*F36*2</f>
        <v>18.383808095952027</v>
      </c>
    </row>
    <row r="37" spans="1:7" ht="15" customHeight="1">
      <c r="A37" s="21" t="s">
        <v>45</v>
      </c>
      <c r="B37" s="470" t="s">
        <v>46</v>
      </c>
      <c r="C37" s="470"/>
      <c r="D37" s="21" t="s">
        <v>43</v>
      </c>
      <c r="E37" s="22" t="s">
        <v>47</v>
      </c>
      <c r="F37" s="23">
        <f>(F50+F51)/2/40</f>
        <v>2.2979760119940034</v>
      </c>
      <c r="G37" s="24">
        <f>8*F37*2</f>
        <v>36.767616191904054</v>
      </c>
    </row>
    <row r="38" spans="1:7" ht="15" customHeight="1">
      <c r="A38" s="21" t="s">
        <v>14</v>
      </c>
      <c r="B38" s="470" t="s">
        <v>48</v>
      </c>
      <c r="C38" s="470"/>
      <c r="D38" s="21" t="s">
        <v>43</v>
      </c>
      <c r="E38" s="22" t="s">
        <v>44</v>
      </c>
      <c r="F38" s="23">
        <f>(F50+F51)/2/40</f>
        <v>2.2979760119940034</v>
      </c>
      <c r="G38" s="24">
        <f>4*F38*2</f>
        <v>18.383808095952027</v>
      </c>
    </row>
    <row r="39" spans="1:7" ht="15" customHeight="1">
      <c r="A39" s="21" t="s">
        <v>49</v>
      </c>
      <c r="B39" s="470" t="s">
        <v>50</v>
      </c>
      <c r="C39" s="470"/>
      <c r="D39" s="21" t="s">
        <v>43</v>
      </c>
      <c r="E39" s="21"/>
      <c r="F39" s="21"/>
      <c r="G39" s="21">
        <f>E39*F39</f>
        <v>0</v>
      </c>
    </row>
    <row r="40" spans="1:7" ht="15" customHeight="1">
      <c r="A40" s="488" t="s">
        <v>19</v>
      </c>
      <c r="B40" s="467" t="s">
        <v>51</v>
      </c>
      <c r="C40" s="467"/>
      <c r="D40" s="26"/>
      <c r="E40" s="27"/>
      <c r="F40" s="25"/>
      <c r="G40" s="21">
        <f>E40*F40</f>
        <v>0</v>
      </c>
    </row>
    <row r="41" spans="1:7" ht="14.25" customHeight="1">
      <c r="A41" s="489"/>
      <c r="B41" s="467" t="s">
        <v>52</v>
      </c>
      <c r="C41" s="467"/>
      <c r="D41" s="29"/>
      <c r="E41" s="27"/>
      <c r="F41" s="28"/>
      <c r="G41" s="21">
        <f>E41*F41</f>
        <v>0</v>
      </c>
    </row>
    <row r="42" spans="1:7" ht="15.75" customHeight="1">
      <c r="A42" s="489"/>
      <c r="B42" s="467" t="s">
        <v>53</v>
      </c>
      <c r="C42" s="467"/>
      <c r="D42" s="29"/>
      <c r="E42" s="27"/>
      <c r="F42" s="28"/>
      <c r="G42" s="21">
        <f>E42*F42</f>
        <v>0</v>
      </c>
    </row>
    <row r="43" spans="1:7" ht="14.25">
      <c r="A43" s="490"/>
      <c r="B43" s="467" t="s">
        <v>53</v>
      </c>
      <c r="C43" s="467"/>
      <c r="D43" s="31"/>
      <c r="E43" s="27"/>
      <c r="F43" s="30"/>
      <c r="G43" s="21">
        <f>E43*F43</f>
        <v>0</v>
      </c>
    </row>
    <row r="44" spans="1:7" ht="14.25">
      <c r="A44" s="21" t="s">
        <v>54</v>
      </c>
      <c r="B44" s="470" t="s">
        <v>55</v>
      </c>
      <c r="C44" s="470"/>
      <c r="D44" s="21"/>
      <c r="E44" s="21"/>
      <c r="F44" s="21"/>
      <c r="G44" s="24">
        <f>SUM(G36:G43)</f>
        <v>73.53523238380811</v>
      </c>
    </row>
    <row r="45" ht="14.25">
      <c r="A45" s="13"/>
    </row>
    <row r="46" ht="15" thickBot="1">
      <c r="A46" s="13" t="s">
        <v>56</v>
      </c>
    </row>
    <row r="47" spans="1:7" ht="27.75" customHeight="1" thickBot="1">
      <c r="A47" s="485" t="s">
        <v>37</v>
      </c>
      <c r="B47" s="458" t="s">
        <v>57</v>
      </c>
      <c r="C47" s="459"/>
      <c r="D47" s="460" t="s">
        <v>39</v>
      </c>
      <c r="E47" s="460" t="s">
        <v>207</v>
      </c>
      <c r="F47" s="485" t="s">
        <v>58</v>
      </c>
      <c r="G47" s="461" t="s">
        <v>59</v>
      </c>
    </row>
    <row r="48" spans="1:7" ht="15" customHeight="1">
      <c r="A48" s="486"/>
      <c r="B48" s="20" t="s">
        <v>60</v>
      </c>
      <c r="C48" s="32" t="s">
        <v>61</v>
      </c>
      <c r="D48" s="462"/>
      <c r="E48" s="462"/>
      <c r="F48" s="486"/>
      <c r="G48" s="469"/>
    </row>
    <row r="49" spans="1:7" ht="14.25" customHeight="1">
      <c r="A49" s="21">
        <v>1</v>
      </c>
      <c r="B49" s="33" t="s">
        <v>62</v>
      </c>
      <c r="C49" s="33"/>
      <c r="D49" s="21" t="s">
        <v>43</v>
      </c>
      <c r="E49" s="21"/>
      <c r="F49" s="21"/>
      <c r="G49" s="21">
        <f>E49*F49</f>
        <v>0</v>
      </c>
    </row>
    <row r="50" spans="1:7" ht="15" customHeight="1">
      <c r="A50" s="21">
        <v>2</v>
      </c>
      <c r="B50" s="33" t="s">
        <v>63</v>
      </c>
      <c r="C50" s="33" t="s">
        <v>64</v>
      </c>
      <c r="D50" s="21" t="s">
        <v>43</v>
      </c>
      <c r="E50" s="21">
        <v>16</v>
      </c>
      <c r="F50" s="23">
        <f>8720*12/2001</f>
        <v>52.29385307346327</v>
      </c>
      <c r="G50" s="24">
        <f aca="true" t="shared" si="0" ref="G50:G57">E50*F50</f>
        <v>836.7016491754123</v>
      </c>
    </row>
    <row r="51" spans="1:7" ht="15" customHeight="1">
      <c r="A51" s="21">
        <v>3</v>
      </c>
      <c r="B51" s="33" t="s">
        <v>65</v>
      </c>
      <c r="C51" s="33" t="s">
        <v>66</v>
      </c>
      <c r="D51" s="21" t="s">
        <v>43</v>
      </c>
      <c r="E51" s="21">
        <v>8</v>
      </c>
      <c r="F51" s="23">
        <f>21935*12/2001</f>
        <v>131.54422788605697</v>
      </c>
      <c r="G51" s="24">
        <f t="shared" si="0"/>
        <v>1052.3538230884558</v>
      </c>
    </row>
    <row r="52" spans="1:9" ht="15" customHeight="1">
      <c r="A52" s="21">
        <v>4</v>
      </c>
      <c r="B52" s="33" t="s">
        <v>67</v>
      </c>
      <c r="C52" s="33" t="s">
        <v>68</v>
      </c>
      <c r="D52" s="21" t="s">
        <v>43</v>
      </c>
      <c r="E52" s="22" t="s">
        <v>69</v>
      </c>
      <c r="F52" s="23">
        <f>(5610+4386)*12/4002</f>
        <v>29.973013493253372</v>
      </c>
      <c r="G52" s="24">
        <f>5*F52*5</f>
        <v>749.3253373313343</v>
      </c>
      <c r="I52" s="440" t="s">
        <v>537</v>
      </c>
    </row>
    <row r="53" spans="1:7" ht="15" customHeight="1">
      <c r="A53" s="21">
        <v>5</v>
      </c>
      <c r="B53" s="33" t="s">
        <v>70</v>
      </c>
      <c r="C53" s="33" t="s">
        <v>71</v>
      </c>
      <c r="D53" s="21" t="s">
        <v>43</v>
      </c>
      <c r="E53" s="21">
        <v>16</v>
      </c>
      <c r="F53" s="23">
        <f>7260*12/2001</f>
        <v>43.53823088455772</v>
      </c>
      <c r="G53" s="24">
        <f t="shared" si="0"/>
        <v>696.6116941529235</v>
      </c>
    </row>
    <row r="54" spans="1:9" ht="15" customHeight="1">
      <c r="A54" s="21">
        <v>6</v>
      </c>
      <c r="B54" s="33" t="s">
        <v>73</v>
      </c>
      <c r="C54" s="33" t="s">
        <v>74</v>
      </c>
      <c r="D54" s="21" t="s">
        <v>43</v>
      </c>
      <c r="E54" s="22" t="s">
        <v>44</v>
      </c>
      <c r="F54" s="23">
        <f>(4650+3850)*12/4002</f>
        <v>25.487256371814095</v>
      </c>
      <c r="G54" s="24">
        <f>4*F54</f>
        <v>101.94902548725638</v>
      </c>
      <c r="I54" s="440" t="s">
        <v>538</v>
      </c>
    </row>
    <row r="55" spans="1:7" ht="15" customHeight="1">
      <c r="A55" s="21">
        <v>7</v>
      </c>
      <c r="B55" s="33" t="s">
        <v>75</v>
      </c>
      <c r="C55" s="33" t="s">
        <v>78</v>
      </c>
      <c r="D55" s="21" t="s">
        <v>43</v>
      </c>
      <c r="E55" s="21">
        <v>4</v>
      </c>
      <c r="F55" s="23">
        <f>5120*12/2001</f>
        <v>30.70464767616192</v>
      </c>
      <c r="G55" s="24">
        <f t="shared" si="0"/>
        <v>122.81859070464768</v>
      </c>
    </row>
    <row r="56" spans="1:7" ht="15" customHeight="1">
      <c r="A56" s="21">
        <v>8</v>
      </c>
      <c r="B56" s="33" t="s">
        <v>77</v>
      </c>
      <c r="C56" s="33" t="s">
        <v>78</v>
      </c>
      <c r="D56" s="21" t="s">
        <v>43</v>
      </c>
      <c r="E56" s="21">
        <v>8</v>
      </c>
      <c r="F56" s="23">
        <f>5120*12/2001</f>
        <v>30.70464767616192</v>
      </c>
      <c r="G56" s="24">
        <f t="shared" si="0"/>
        <v>245.63718140929535</v>
      </c>
    </row>
    <row r="57" spans="1:7" ht="15" customHeight="1">
      <c r="A57" s="21">
        <v>9</v>
      </c>
      <c r="B57" s="33" t="s">
        <v>80</v>
      </c>
      <c r="C57" s="33" t="s">
        <v>81</v>
      </c>
      <c r="D57" s="21" t="s">
        <v>43</v>
      </c>
      <c r="E57" s="21">
        <v>8</v>
      </c>
      <c r="F57" s="23">
        <f>3160*12/2001</f>
        <v>18.950524737631184</v>
      </c>
      <c r="G57" s="24">
        <f t="shared" si="0"/>
        <v>151.60419790104947</v>
      </c>
    </row>
    <row r="58" spans="1:7" ht="15" customHeight="1">
      <c r="A58" s="21"/>
      <c r="B58" s="33" t="s">
        <v>82</v>
      </c>
      <c r="C58" s="33"/>
      <c r="D58" s="21"/>
      <c r="E58" s="21"/>
      <c r="F58" s="21"/>
      <c r="G58" s="24">
        <f>SUM(G49:G57)</f>
        <v>3957.0014992503748</v>
      </c>
    </row>
    <row r="59" ht="15" customHeight="1">
      <c r="A59" s="34"/>
    </row>
    <row r="60" ht="15" thickBot="1">
      <c r="A60" s="13" t="s">
        <v>83</v>
      </c>
    </row>
    <row r="61" spans="1:7" ht="28.5" customHeight="1">
      <c r="A61" s="35" t="s">
        <v>37</v>
      </c>
      <c r="B61" s="460" t="s">
        <v>38</v>
      </c>
      <c r="C61" s="461"/>
      <c r="D61" s="15" t="s">
        <v>39</v>
      </c>
      <c r="E61" s="15" t="s">
        <v>207</v>
      </c>
      <c r="F61" s="15" t="s">
        <v>58</v>
      </c>
      <c r="G61" s="15" t="s">
        <v>59</v>
      </c>
    </row>
    <row r="62" spans="1:7" ht="15" customHeight="1">
      <c r="A62" s="21" t="s">
        <v>9</v>
      </c>
      <c r="B62" s="470" t="s">
        <v>84</v>
      </c>
      <c r="C62" s="470"/>
      <c r="D62" s="21" t="s">
        <v>85</v>
      </c>
      <c r="E62" s="36"/>
      <c r="F62" s="36"/>
      <c r="G62" s="24">
        <f>(G44+G58)*0.23</f>
        <v>927.0234482758622</v>
      </c>
    </row>
    <row r="63" spans="1:7" ht="15" customHeight="1">
      <c r="A63" s="21" t="s">
        <v>45</v>
      </c>
      <c r="B63" s="470" t="s">
        <v>539</v>
      </c>
      <c r="C63" s="470"/>
      <c r="D63" s="21" t="s">
        <v>85</v>
      </c>
      <c r="E63" s="36"/>
      <c r="F63" s="36"/>
      <c r="G63" s="24">
        <f>(G44+G58)*0.04</f>
        <v>161.22146926536732</v>
      </c>
    </row>
    <row r="64" ht="18" customHeight="1">
      <c r="A64" s="34"/>
    </row>
    <row r="65" ht="15" thickBot="1">
      <c r="A65" s="13" t="s">
        <v>87</v>
      </c>
    </row>
    <row r="66" spans="1:7" ht="27" customHeight="1" thickBot="1">
      <c r="A66" s="15" t="s">
        <v>37</v>
      </c>
      <c r="B66" s="460" t="s">
        <v>38</v>
      </c>
      <c r="C66" s="461"/>
      <c r="D66" s="14" t="s">
        <v>39</v>
      </c>
      <c r="E66" s="35" t="s">
        <v>207</v>
      </c>
      <c r="F66" s="15" t="s">
        <v>58</v>
      </c>
      <c r="G66" s="15" t="s">
        <v>59</v>
      </c>
    </row>
    <row r="67" spans="1:7" ht="15" customHeight="1">
      <c r="A67" s="482"/>
      <c r="B67" s="482"/>
      <c r="C67" s="482"/>
      <c r="D67" s="37"/>
      <c r="E67" s="37"/>
      <c r="F67" s="38"/>
      <c r="G67" s="38"/>
    </row>
    <row r="68" spans="1:7" ht="14.25">
      <c r="A68" s="484" t="s">
        <v>88</v>
      </c>
      <c r="B68" s="484"/>
      <c r="C68" s="484"/>
      <c r="D68" s="39"/>
      <c r="E68" s="39"/>
      <c r="F68" s="27"/>
      <c r="G68" s="27"/>
    </row>
    <row r="69" spans="1:7" ht="15" customHeight="1">
      <c r="A69" s="40" t="s">
        <v>9</v>
      </c>
      <c r="B69" s="470" t="s">
        <v>275</v>
      </c>
      <c r="C69" s="470"/>
      <c r="D69" s="21"/>
      <c r="E69" s="21"/>
      <c r="F69" s="21"/>
      <c r="G69" s="21"/>
    </row>
    <row r="70" spans="1:7" ht="15" customHeight="1">
      <c r="A70" s="40" t="s">
        <v>45</v>
      </c>
      <c r="B70" s="470" t="s">
        <v>90</v>
      </c>
      <c r="C70" s="470"/>
      <c r="D70" s="21" t="s">
        <v>91</v>
      </c>
      <c r="E70" s="21">
        <v>8</v>
      </c>
      <c r="F70" s="21">
        <v>635.1</v>
      </c>
      <c r="G70" s="24">
        <f>E70*F70</f>
        <v>5080.8</v>
      </c>
    </row>
    <row r="71" spans="1:7" ht="15" customHeight="1">
      <c r="A71" s="40" t="s">
        <v>14</v>
      </c>
      <c r="B71" s="470" t="s">
        <v>92</v>
      </c>
      <c r="C71" s="470"/>
      <c r="D71" s="21" t="s">
        <v>91</v>
      </c>
      <c r="E71" s="21">
        <v>1</v>
      </c>
      <c r="F71" s="21">
        <v>635.1</v>
      </c>
      <c r="G71" s="24">
        <f>E71*F71</f>
        <v>635.1</v>
      </c>
    </row>
    <row r="72" spans="1:7" ht="15" customHeight="1">
      <c r="A72" s="40" t="s">
        <v>49</v>
      </c>
      <c r="B72" s="470" t="s">
        <v>93</v>
      </c>
      <c r="C72" s="470"/>
      <c r="D72" s="21" t="s">
        <v>91</v>
      </c>
      <c r="E72" s="21"/>
      <c r="F72" s="21"/>
      <c r="G72" s="21">
        <f>E72*F72</f>
        <v>0</v>
      </c>
    </row>
    <row r="73" spans="1:7" ht="15" customHeight="1">
      <c r="A73" s="40" t="s">
        <v>19</v>
      </c>
      <c r="B73" s="470" t="s">
        <v>94</v>
      </c>
      <c r="C73" s="470"/>
      <c r="D73" s="21"/>
      <c r="E73" s="21"/>
      <c r="F73" s="21"/>
      <c r="G73" s="21"/>
    </row>
    <row r="74" spans="1:7" ht="15" customHeight="1">
      <c r="A74" s="40"/>
      <c r="B74" s="479" t="s">
        <v>95</v>
      </c>
      <c r="C74" s="479"/>
      <c r="D74" s="41" t="s">
        <v>96</v>
      </c>
      <c r="E74" s="41">
        <v>5</v>
      </c>
      <c r="F74" s="41"/>
      <c r="G74" s="41"/>
    </row>
    <row r="75" spans="1:7" ht="15" customHeight="1">
      <c r="A75" s="40"/>
      <c r="B75" s="479" t="s">
        <v>97</v>
      </c>
      <c r="C75" s="479"/>
      <c r="D75" s="41" t="s">
        <v>91</v>
      </c>
      <c r="E75" s="41">
        <v>3</v>
      </c>
      <c r="F75" s="41"/>
      <c r="G75" s="41"/>
    </row>
    <row r="76" spans="1:7" ht="15" customHeight="1">
      <c r="A76" s="40"/>
      <c r="B76" s="479" t="s">
        <v>98</v>
      </c>
      <c r="C76" s="479"/>
      <c r="D76" s="41" t="s">
        <v>85</v>
      </c>
      <c r="E76" s="41"/>
      <c r="F76" s="41">
        <v>16.04</v>
      </c>
      <c r="G76" s="42">
        <f>E74*E75*F76</f>
        <v>240.6</v>
      </c>
    </row>
    <row r="77" spans="1:7" ht="15" customHeight="1">
      <c r="A77" s="40" t="s">
        <v>54</v>
      </c>
      <c r="B77" s="470" t="s">
        <v>99</v>
      </c>
      <c r="C77" s="470"/>
      <c r="D77" s="41"/>
      <c r="E77" s="41"/>
      <c r="F77" s="41"/>
      <c r="G77" s="41"/>
    </row>
    <row r="78" spans="1:7" ht="15" customHeight="1">
      <c r="A78" s="40"/>
      <c r="B78" s="479" t="s">
        <v>97</v>
      </c>
      <c r="C78" s="479"/>
      <c r="D78" s="41" t="s">
        <v>91</v>
      </c>
      <c r="E78" s="41">
        <v>4</v>
      </c>
      <c r="F78" s="41"/>
      <c r="G78" s="41"/>
    </row>
    <row r="79" spans="1:7" ht="15" customHeight="1">
      <c r="A79" s="40"/>
      <c r="B79" s="479" t="s">
        <v>100</v>
      </c>
      <c r="C79" s="479"/>
      <c r="D79" s="41" t="s">
        <v>101</v>
      </c>
      <c r="E79" s="43">
        <v>118</v>
      </c>
      <c r="F79" s="41">
        <v>1.68</v>
      </c>
      <c r="G79" s="42">
        <f>E78*E79*F79</f>
        <v>792.9599999999999</v>
      </c>
    </row>
    <row r="80" spans="1:7" ht="15" customHeight="1">
      <c r="A80" s="40"/>
      <c r="B80" s="479" t="s">
        <v>102</v>
      </c>
      <c r="C80" s="479"/>
      <c r="D80" s="41" t="s">
        <v>91</v>
      </c>
      <c r="E80" s="41"/>
      <c r="F80" s="44">
        <f>2250.05/2</f>
        <v>1125.025</v>
      </c>
      <c r="G80" s="42">
        <f>E78*F80</f>
        <v>4500.1</v>
      </c>
    </row>
    <row r="81" spans="1:7" ht="14.25" customHeight="1">
      <c r="A81" s="484"/>
      <c r="B81" s="484"/>
      <c r="C81" s="484"/>
      <c r="D81" s="45"/>
      <c r="E81" s="45"/>
      <c r="F81" s="45"/>
      <c r="G81" s="45"/>
    </row>
    <row r="82" spans="1:7" ht="14.25">
      <c r="A82" s="484" t="s">
        <v>103</v>
      </c>
      <c r="B82" s="484"/>
      <c r="C82" s="484"/>
      <c r="D82" s="45"/>
      <c r="E82" s="45"/>
      <c r="F82" s="45"/>
      <c r="G82" s="45"/>
    </row>
    <row r="83" spans="1:7" ht="15" customHeight="1">
      <c r="A83" s="40"/>
      <c r="B83" s="479" t="s">
        <v>97</v>
      </c>
      <c r="C83" s="479"/>
      <c r="D83" s="41" t="s">
        <v>91</v>
      </c>
      <c r="E83" s="41">
        <v>2</v>
      </c>
      <c r="F83" s="41"/>
      <c r="G83" s="41"/>
    </row>
    <row r="84" spans="1:7" ht="15" customHeight="1">
      <c r="A84" s="40"/>
      <c r="B84" s="479" t="s">
        <v>104</v>
      </c>
      <c r="C84" s="479"/>
      <c r="D84" s="41" t="s">
        <v>101</v>
      </c>
      <c r="E84" s="41">
        <v>1.35</v>
      </c>
      <c r="F84" s="41">
        <v>1.68</v>
      </c>
      <c r="G84" s="42">
        <f>E83*E84*F84</f>
        <v>4.5360000000000005</v>
      </c>
    </row>
    <row r="85" spans="1:7" ht="14.25" customHeight="1">
      <c r="A85" s="40"/>
      <c r="B85" s="479" t="s">
        <v>105</v>
      </c>
      <c r="C85" s="479"/>
      <c r="D85" s="41" t="s">
        <v>85</v>
      </c>
      <c r="E85" s="41"/>
      <c r="F85" s="41">
        <v>11.8</v>
      </c>
      <c r="G85" s="42">
        <f>E83*F85</f>
        <v>23.6</v>
      </c>
    </row>
    <row r="86" spans="1:7" ht="15" customHeight="1">
      <c r="A86" s="484"/>
      <c r="B86" s="484"/>
      <c r="C86" s="484"/>
      <c r="D86" s="45"/>
      <c r="E86" s="45"/>
      <c r="F86" s="45"/>
      <c r="G86" s="45"/>
    </row>
    <row r="87" spans="1:7" ht="14.25">
      <c r="A87" s="484" t="s">
        <v>106</v>
      </c>
      <c r="B87" s="484"/>
      <c r="C87" s="484"/>
      <c r="D87" s="45"/>
      <c r="E87" s="45"/>
      <c r="F87" s="45"/>
      <c r="G87" s="45"/>
    </row>
    <row r="88" spans="1:7" ht="15" customHeight="1">
      <c r="A88" s="40"/>
      <c r="B88" s="479" t="s">
        <v>97</v>
      </c>
      <c r="C88" s="479"/>
      <c r="D88" s="41" t="s">
        <v>91</v>
      </c>
      <c r="E88" s="41">
        <v>1</v>
      </c>
      <c r="F88" s="41"/>
      <c r="G88" s="41"/>
    </row>
    <row r="89" spans="1:7" ht="15" customHeight="1">
      <c r="A89" s="40"/>
      <c r="B89" s="479" t="s">
        <v>104</v>
      </c>
      <c r="C89" s="479"/>
      <c r="D89" s="41" t="s">
        <v>101</v>
      </c>
      <c r="E89" s="41">
        <v>0.5</v>
      </c>
      <c r="F89" s="41">
        <v>1.68</v>
      </c>
      <c r="G89" s="42">
        <f>E88*E89*F89</f>
        <v>0.84</v>
      </c>
    </row>
    <row r="90" spans="1:7" ht="14.25" customHeight="1">
      <c r="A90" s="40"/>
      <c r="B90" s="479" t="s">
        <v>107</v>
      </c>
      <c r="C90" s="479"/>
      <c r="D90" s="41" t="s">
        <v>85</v>
      </c>
      <c r="E90" s="41"/>
      <c r="F90" s="41">
        <v>0.6</v>
      </c>
      <c r="G90" s="41">
        <f>E88*F90</f>
        <v>0.6</v>
      </c>
    </row>
    <row r="92" spans="1:7" ht="15.75">
      <c r="A92" s="484" t="s">
        <v>208</v>
      </c>
      <c r="B92" s="484"/>
      <c r="C92" s="484"/>
      <c r="D92" s="39"/>
      <c r="E92" s="39"/>
      <c r="F92" s="27"/>
      <c r="G92" s="27"/>
    </row>
    <row r="93" spans="1:7" ht="18.75" customHeight="1">
      <c r="A93" s="33"/>
      <c r="B93" s="480"/>
      <c r="C93" s="480"/>
      <c r="D93" s="21"/>
      <c r="E93" s="21"/>
      <c r="F93" s="21"/>
      <c r="G93" s="21"/>
    </row>
    <row r="94" spans="1:7" ht="14.25">
      <c r="A94" s="33"/>
      <c r="B94" s="480"/>
      <c r="C94" s="480"/>
      <c r="D94" s="21"/>
      <c r="E94" s="21"/>
      <c r="F94" s="21"/>
      <c r="G94" s="21"/>
    </row>
    <row r="95" spans="1:7" ht="14.25">
      <c r="A95" s="33"/>
      <c r="B95" s="477"/>
      <c r="C95" s="478"/>
      <c r="D95" s="21"/>
      <c r="E95" s="22"/>
      <c r="F95" s="21"/>
      <c r="G95" s="24">
        <f>SUM(G93:G94)</f>
        <v>0</v>
      </c>
    </row>
    <row r="96" spans="1:7" ht="14.25" customHeight="1">
      <c r="A96" s="21"/>
      <c r="B96" s="477" t="s">
        <v>108</v>
      </c>
      <c r="C96" s="478"/>
      <c r="D96" s="21"/>
      <c r="E96" s="22"/>
      <c r="F96" s="21"/>
      <c r="G96" s="24">
        <f>SUM(G70:G90)</f>
        <v>11279.136000000002</v>
      </c>
    </row>
    <row r="97" spans="1:7" ht="12.75">
      <c r="A97" s="46"/>
      <c r="B97" s="46"/>
      <c r="C97" s="46"/>
      <c r="D97" s="46"/>
      <c r="E97" s="46"/>
      <c r="F97" s="46"/>
      <c r="G97" s="46"/>
    </row>
    <row r="98" ht="15" thickBot="1">
      <c r="A98" s="13" t="s">
        <v>110</v>
      </c>
    </row>
    <row r="99" spans="1:7" ht="26.25" customHeight="1">
      <c r="A99" s="35" t="s">
        <v>37</v>
      </c>
      <c r="B99" s="47" t="s">
        <v>38</v>
      </c>
      <c r="C99" s="48"/>
      <c r="D99" s="14" t="s">
        <v>39</v>
      </c>
      <c r="E99" s="15" t="s">
        <v>207</v>
      </c>
      <c r="F99" s="15" t="s">
        <v>58</v>
      </c>
      <c r="G99" s="15" t="s">
        <v>59</v>
      </c>
    </row>
    <row r="100" spans="1:7" ht="15" customHeight="1">
      <c r="A100" s="21" t="s">
        <v>9</v>
      </c>
      <c r="B100" s="470" t="s">
        <v>111</v>
      </c>
      <c r="C100" s="470"/>
      <c r="D100" s="41" t="s">
        <v>91</v>
      </c>
      <c r="E100" s="41"/>
      <c r="F100" s="41"/>
      <c r="G100" s="21">
        <f>E100*F100</f>
        <v>0</v>
      </c>
    </row>
    <row r="101" spans="1:7" ht="15" customHeight="1">
      <c r="A101" s="21" t="s">
        <v>45</v>
      </c>
      <c r="B101" s="470" t="s">
        <v>112</v>
      </c>
      <c r="C101" s="470"/>
      <c r="D101" s="41" t="s">
        <v>91</v>
      </c>
      <c r="E101" s="41"/>
      <c r="F101" s="41"/>
      <c r="G101" s="21">
        <f>E101*F101</f>
        <v>0</v>
      </c>
    </row>
    <row r="102" spans="1:7" ht="15" customHeight="1">
      <c r="A102" s="21" t="s">
        <v>14</v>
      </c>
      <c r="B102" s="470" t="s">
        <v>113</v>
      </c>
      <c r="C102" s="470"/>
      <c r="D102" s="41" t="s">
        <v>91</v>
      </c>
      <c r="E102" s="41"/>
      <c r="F102" s="41"/>
      <c r="G102" s="21">
        <f>E102*F102</f>
        <v>0</v>
      </c>
    </row>
    <row r="103" spans="1:7" ht="15" customHeight="1">
      <c r="A103" s="21" t="s">
        <v>49</v>
      </c>
      <c r="B103" s="470" t="s">
        <v>94</v>
      </c>
      <c r="C103" s="470"/>
      <c r="D103" s="41"/>
      <c r="E103" s="41"/>
      <c r="F103" s="41"/>
      <c r="G103" s="41"/>
    </row>
    <row r="104" spans="1:7" ht="15" customHeight="1">
      <c r="A104" s="21"/>
      <c r="B104" s="479" t="s">
        <v>95</v>
      </c>
      <c r="C104" s="479"/>
      <c r="D104" s="41" t="s">
        <v>96</v>
      </c>
      <c r="E104" s="41">
        <v>1</v>
      </c>
      <c r="F104" s="41"/>
      <c r="G104" s="41"/>
    </row>
    <row r="105" spans="1:7" ht="15" customHeight="1">
      <c r="A105" s="21"/>
      <c r="B105" s="479" t="s">
        <v>97</v>
      </c>
      <c r="C105" s="479"/>
      <c r="D105" s="41" t="s">
        <v>91</v>
      </c>
      <c r="E105" s="41">
        <v>4</v>
      </c>
      <c r="F105" s="41"/>
      <c r="G105" s="41"/>
    </row>
    <row r="106" spans="1:7" ht="15" customHeight="1">
      <c r="A106" s="21"/>
      <c r="B106" s="479" t="s">
        <v>114</v>
      </c>
      <c r="C106" s="479"/>
      <c r="D106" s="41" t="s">
        <v>85</v>
      </c>
      <c r="E106" s="41"/>
      <c r="F106" s="41">
        <v>16.04</v>
      </c>
      <c r="G106" s="42">
        <f>E104*E105*F106</f>
        <v>64.16</v>
      </c>
    </row>
    <row r="107" spans="1:7" ht="15" customHeight="1">
      <c r="A107" s="21" t="s">
        <v>19</v>
      </c>
      <c r="B107" s="481" t="s">
        <v>115</v>
      </c>
      <c r="C107" s="481"/>
      <c r="D107" s="41"/>
      <c r="E107" s="41"/>
      <c r="F107" s="41"/>
      <c r="G107" s="41"/>
    </row>
    <row r="108" spans="1:7" ht="15" customHeight="1">
      <c r="A108" s="21"/>
      <c r="B108" s="479" t="s">
        <v>116</v>
      </c>
      <c r="C108" s="479"/>
      <c r="D108" s="41" t="s">
        <v>117</v>
      </c>
      <c r="E108" s="41">
        <v>2</v>
      </c>
      <c r="F108" s="41"/>
      <c r="G108" s="41"/>
    </row>
    <row r="109" spans="1:7" ht="15" customHeight="1">
      <c r="A109" s="21"/>
      <c r="B109" s="479" t="s">
        <v>118</v>
      </c>
      <c r="C109" s="479"/>
      <c r="D109" s="41" t="s">
        <v>85</v>
      </c>
      <c r="E109" s="41">
        <v>10</v>
      </c>
      <c r="F109" s="44">
        <f>(14249.86+97346.65)/73/12/193*1</f>
        <v>0.6600687888896776</v>
      </c>
      <c r="G109" s="42">
        <f>E108*E109*F109</f>
        <v>13.201375777793551</v>
      </c>
    </row>
    <row r="110" spans="1:7" ht="15" customHeight="1">
      <c r="A110" s="21" t="s">
        <v>54</v>
      </c>
      <c r="B110" s="481" t="s">
        <v>119</v>
      </c>
      <c r="C110" s="481"/>
      <c r="D110" s="41"/>
      <c r="E110" s="41"/>
      <c r="F110" s="41"/>
      <c r="G110" s="41"/>
    </row>
    <row r="111" spans="1:7" ht="15" customHeight="1">
      <c r="A111" s="21"/>
      <c r="B111" s="479" t="s">
        <v>120</v>
      </c>
      <c r="C111" s="479"/>
      <c r="D111" s="41" t="s">
        <v>117</v>
      </c>
      <c r="E111" s="41"/>
      <c r="F111" s="41"/>
      <c r="G111" s="41"/>
    </row>
    <row r="112" spans="1:7" ht="15" customHeight="1">
      <c r="A112" s="21"/>
      <c r="B112" s="479" t="s">
        <v>121</v>
      </c>
      <c r="C112" s="479"/>
      <c r="D112" s="41" t="s">
        <v>85</v>
      </c>
      <c r="E112" s="41"/>
      <c r="F112" s="41"/>
      <c r="G112" s="41">
        <f>E111*E112*F112</f>
        <v>0</v>
      </c>
    </row>
    <row r="113" spans="1:7" ht="15" customHeight="1">
      <c r="A113" s="21" t="s">
        <v>22</v>
      </c>
      <c r="B113" s="481" t="s">
        <v>99</v>
      </c>
      <c r="C113" s="481"/>
      <c r="D113" s="41"/>
      <c r="E113" s="41"/>
      <c r="F113" s="41"/>
      <c r="G113" s="41"/>
    </row>
    <row r="114" spans="1:7" ht="15" customHeight="1">
      <c r="A114" s="21"/>
      <c r="B114" s="479" t="s">
        <v>97</v>
      </c>
      <c r="C114" s="479"/>
      <c r="D114" s="41" t="s">
        <v>91</v>
      </c>
      <c r="E114" s="41">
        <v>2</v>
      </c>
      <c r="F114" s="41"/>
      <c r="G114" s="41"/>
    </row>
    <row r="115" spans="1:7" ht="15" customHeight="1">
      <c r="A115" s="21"/>
      <c r="B115" s="479" t="s">
        <v>102</v>
      </c>
      <c r="C115" s="479"/>
      <c r="D115" s="41" t="s">
        <v>85</v>
      </c>
      <c r="E115" s="41"/>
      <c r="F115" s="41">
        <v>3.71</v>
      </c>
      <c r="G115" s="42">
        <f>E114*F115</f>
        <v>7.42</v>
      </c>
    </row>
    <row r="116" spans="1:7" ht="14.25" customHeight="1">
      <c r="A116" s="21" t="s">
        <v>72</v>
      </c>
      <c r="B116" s="470" t="s">
        <v>122</v>
      </c>
      <c r="C116" s="470"/>
      <c r="D116" s="41" t="s">
        <v>91</v>
      </c>
      <c r="E116" s="41"/>
      <c r="F116" s="41"/>
      <c r="G116" s="41">
        <f>E116*F116</f>
        <v>0</v>
      </c>
    </row>
    <row r="117" spans="1:7" ht="14.25" customHeight="1">
      <c r="A117" s="21"/>
      <c r="B117" s="477" t="s">
        <v>123</v>
      </c>
      <c r="C117" s="478"/>
      <c r="D117" s="21"/>
      <c r="E117" s="22"/>
      <c r="F117" s="21"/>
      <c r="G117" s="24">
        <f>SUM(G100:G116)</f>
        <v>84.78137577779354</v>
      </c>
    </row>
    <row r="118" ht="14.25">
      <c r="A118" s="4"/>
    </row>
    <row r="119" ht="14.25">
      <c r="A119" s="13" t="s">
        <v>124</v>
      </c>
    </row>
    <row r="120" ht="15" thickBot="1">
      <c r="A120" s="13"/>
    </row>
    <row r="121" spans="1:9" ht="29.25" customHeight="1">
      <c r="A121" s="35" t="s">
        <v>37</v>
      </c>
      <c r="B121" s="47" t="s">
        <v>38</v>
      </c>
      <c r="C121" s="48"/>
      <c r="D121" s="14" t="s">
        <v>39</v>
      </c>
      <c r="E121" s="49" t="s">
        <v>207</v>
      </c>
      <c r="F121" s="15" t="s">
        <v>58</v>
      </c>
      <c r="G121" s="15" t="s">
        <v>59</v>
      </c>
      <c r="H121" s="50"/>
      <c r="I121" s="51"/>
    </row>
    <row r="122" spans="1:9" ht="15" customHeight="1">
      <c r="A122" s="21" t="s">
        <v>9</v>
      </c>
      <c r="B122" s="470" t="s">
        <v>125</v>
      </c>
      <c r="C122" s="470"/>
      <c r="D122" s="41" t="s">
        <v>96</v>
      </c>
      <c r="E122" s="41">
        <v>1</v>
      </c>
      <c r="F122" s="41"/>
      <c r="G122" s="41"/>
      <c r="H122" s="27"/>
      <c r="I122" s="51"/>
    </row>
    <row r="123" spans="1:9" ht="15" customHeight="1">
      <c r="A123" s="21" t="s">
        <v>45</v>
      </c>
      <c r="B123" s="470" t="s">
        <v>126</v>
      </c>
      <c r="C123" s="470"/>
      <c r="D123" s="41" t="s">
        <v>127</v>
      </c>
      <c r="E123" s="41">
        <v>50</v>
      </c>
      <c r="F123" s="41"/>
      <c r="G123" s="41"/>
      <c r="H123" s="27"/>
      <c r="I123" s="51"/>
    </row>
    <row r="124" spans="1:9" ht="26.25" customHeight="1">
      <c r="A124" s="21" t="s">
        <v>14</v>
      </c>
      <c r="B124" s="470" t="s">
        <v>128</v>
      </c>
      <c r="C124" s="470"/>
      <c r="D124" s="41" t="s">
        <v>129</v>
      </c>
      <c r="E124" s="41">
        <v>5</v>
      </c>
      <c r="F124" s="44">
        <f>1880.95/722.42</f>
        <v>2.6036793001301186</v>
      </c>
      <c r="G124" s="42">
        <f>E122*E124*F124</f>
        <v>13.018396500650592</v>
      </c>
      <c r="H124" s="27"/>
      <c r="I124" s="51"/>
    </row>
    <row r="125" spans="1:9" ht="14.25" customHeight="1">
      <c r="A125" s="21" t="s">
        <v>49</v>
      </c>
      <c r="B125" s="470" t="s">
        <v>130</v>
      </c>
      <c r="C125" s="470"/>
      <c r="D125" s="41" t="s">
        <v>131</v>
      </c>
      <c r="E125" s="41"/>
      <c r="F125" s="41"/>
      <c r="G125" s="41"/>
      <c r="H125" s="27"/>
      <c r="I125" s="51"/>
    </row>
    <row r="126" spans="1:9" ht="15" customHeight="1">
      <c r="A126" s="21"/>
      <c r="B126" s="470" t="s">
        <v>132</v>
      </c>
      <c r="C126" s="470"/>
      <c r="D126" s="41" t="s">
        <v>131</v>
      </c>
      <c r="E126" s="41"/>
      <c r="F126" s="41"/>
      <c r="G126" s="41"/>
      <c r="H126" s="27"/>
      <c r="I126" s="51"/>
    </row>
    <row r="127" spans="1:9" ht="15">
      <c r="A127" s="21"/>
      <c r="B127" s="470" t="s">
        <v>133</v>
      </c>
      <c r="C127" s="470"/>
      <c r="D127" s="41" t="s">
        <v>131</v>
      </c>
      <c r="E127" s="43">
        <f>6.6/100*E123</f>
        <v>3.3000000000000003</v>
      </c>
      <c r="F127" s="43">
        <v>15.83</v>
      </c>
      <c r="G127" s="42">
        <f>E127*F127</f>
        <v>52.239000000000004</v>
      </c>
      <c r="H127" s="27"/>
      <c r="I127" s="51"/>
    </row>
    <row r="128" spans="1:9" ht="15">
      <c r="A128" s="21"/>
      <c r="B128" s="470" t="s">
        <v>134</v>
      </c>
      <c r="C128" s="470"/>
      <c r="D128" s="41" t="s">
        <v>131</v>
      </c>
      <c r="E128" s="43"/>
      <c r="F128" s="43"/>
      <c r="G128" s="41"/>
      <c r="H128" s="27"/>
      <c r="I128" s="51"/>
    </row>
    <row r="129" spans="1:9" s="54" customFormat="1" ht="15">
      <c r="A129" s="21"/>
      <c r="B129" s="477" t="s">
        <v>135</v>
      </c>
      <c r="C129" s="478"/>
      <c r="D129" s="21"/>
      <c r="E129" s="22"/>
      <c r="F129" s="21"/>
      <c r="G129" s="24">
        <f>SUM(G122:G128)</f>
        <v>65.2573965006506</v>
      </c>
      <c r="H129" s="52"/>
      <c r="I129" s="53"/>
    </row>
    <row r="130" spans="1:9" ht="12.75">
      <c r="A130" s="46"/>
      <c r="B130" s="46"/>
      <c r="C130" s="46"/>
      <c r="D130" s="46"/>
      <c r="E130" s="46"/>
      <c r="F130" s="46"/>
      <c r="G130" s="46"/>
      <c r="H130" s="46"/>
      <c r="I130" s="46"/>
    </row>
    <row r="131" ht="15" thickBot="1">
      <c r="A131" s="13" t="s">
        <v>136</v>
      </c>
    </row>
    <row r="132" spans="1:7" ht="28.5" customHeight="1">
      <c r="A132" s="35" t="s">
        <v>37</v>
      </c>
      <c r="B132" s="47" t="s">
        <v>38</v>
      </c>
      <c r="C132" s="48"/>
      <c r="D132" s="15" t="s">
        <v>39</v>
      </c>
      <c r="E132" s="15" t="s">
        <v>207</v>
      </c>
      <c r="F132" s="15" t="s">
        <v>58</v>
      </c>
      <c r="G132" s="15" t="s">
        <v>59</v>
      </c>
    </row>
    <row r="133" spans="1:7" ht="14.25" customHeight="1">
      <c r="A133" s="21" t="s">
        <v>9</v>
      </c>
      <c r="B133" s="470" t="s">
        <v>137</v>
      </c>
      <c r="C133" s="470"/>
      <c r="D133" s="21" t="s">
        <v>138</v>
      </c>
      <c r="E133" s="41"/>
      <c r="F133" s="41"/>
      <c r="G133" s="41"/>
    </row>
    <row r="134" spans="1:7" ht="14.25" customHeight="1">
      <c r="A134" s="21" t="s">
        <v>45</v>
      </c>
      <c r="B134" s="470" t="s">
        <v>139</v>
      </c>
      <c r="C134" s="470"/>
      <c r="D134" s="483"/>
      <c r="E134" s="483"/>
      <c r="F134" s="483"/>
      <c r="G134" s="483"/>
    </row>
    <row r="135" spans="1:7" ht="14.25" customHeight="1">
      <c r="A135" s="21" t="s">
        <v>14</v>
      </c>
      <c r="B135" s="470" t="s">
        <v>140</v>
      </c>
      <c r="C135" s="470"/>
      <c r="D135" s="483"/>
      <c r="E135" s="483"/>
      <c r="F135" s="483"/>
      <c r="G135" s="483"/>
    </row>
    <row r="136" spans="1:7" ht="15" customHeight="1">
      <c r="A136" s="21" t="s">
        <v>49</v>
      </c>
      <c r="B136" s="470" t="s">
        <v>141</v>
      </c>
      <c r="C136" s="470"/>
      <c r="D136" s="21" t="s">
        <v>138</v>
      </c>
      <c r="E136" s="41"/>
      <c r="F136" s="41"/>
      <c r="G136" s="41">
        <f>E136*F136*E133</f>
        <v>0</v>
      </c>
    </row>
    <row r="137" spans="1:7" ht="15" customHeight="1">
      <c r="A137" s="21" t="s">
        <v>19</v>
      </c>
      <c r="B137" s="470" t="s">
        <v>142</v>
      </c>
      <c r="C137" s="470"/>
      <c r="D137" s="21" t="s">
        <v>138</v>
      </c>
      <c r="E137" s="41"/>
      <c r="F137" s="41"/>
      <c r="G137" s="41">
        <f>E137*F137*E133</f>
        <v>0</v>
      </c>
    </row>
    <row r="138" spans="1:7" ht="15" customHeight="1">
      <c r="A138" s="21" t="s">
        <v>54</v>
      </c>
      <c r="B138" s="470" t="s">
        <v>143</v>
      </c>
      <c r="C138" s="470"/>
      <c r="D138" s="21" t="s">
        <v>85</v>
      </c>
      <c r="E138" s="41"/>
      <c r="F138" s="41"/>
      <c r="G138" s="41">
        <f>E133*F138</f>
        <v>0</v>
      </c>
    </row>
    <row r="139" spans="1:7" ht="15" customHeight="1">
      <c r="A139" s="21" t="s">
        <v>22</v>
      </c>
      <c r="B139" s="470" t="s">
        <v>144</v>
      </c>
      <c r="C139" s="470"/>
      <c r="D139" s="21" t="s">
        <v>85</v>
      </c>
      <c r="E139" s="41"/>
      <c r="F139" s="41"/>
      <c r="G139" s="41">
        <f>E133*F139</f>
        <v>0</v>
      </c>
    </row>
    <row r="140" spans="1:7" ht="15" customHeight="1">
      <c r="A140" s="21" t="s">
        <v>72</v>
      </c>
      <c r="B140" s="470" t="s">
        <v>145</v>
      </c>
      <c r="C140" s="470"/>
      <c r="D140" s="21" t="s">
        <v>85</v>
      </c>
      <c r="E140" s="41"/>
      <c r="F140" s="41"/>
      <c r="G140" s="41">
        <f>E133*F140</f>
        <v>0</v>
      </c>
    </row>
    <row r="141" spans="1:7" ht="15" customHeight="1">
      <c r="A141" s="21" t="s">
        <v>26</v>
      </c>
      <c r="B141" s="470" t="s">
        <v>146</v>
      </c>
      <c r="C141" s="470"/>
      <c r="D141" s="21" t="s">
        <v>85</v>
      </c>
      <c r="E141" s="41"/>
      <c r="F141" s="41"/>
      <c r="G141" s="41">
        <f>F141</f>
        <v>0</v>
      </c>
    </row>
    <row r="142" spans="1:7" ht="14.25">
      <c r="A142" s="21"/>
      <c r="B142" s="477" t="s">
        <v>147</v>
      </c>
      <c r="C142" s="478"/>
      <c r="D142" s="21"/>
      <c r="E142" s="22"/>
      <c r="F142" s="21"/>
      <c r="G142" s="24">
        <f>SUM(G135:G141)</f>
        <v>0</v>
      </c>
    </row>
    <row r="143" ht="14.25">
      <c r="A143" s="4"/>
    </row>
    <row r="144" ht="14.25">
      <c r="A144" s="4"/>
    </row>
    <row r="145" ht="14.25">
      <c r="A145" s="13" t="s">
        <v>148</v>
      </c>
    </row>
    <row r="146" ht="15" thickBot="1">
      <c r="A146" s="13"/>
    </row>
    <row r="147" spans="1:7" ht="28.5" customHeight="1">
      <c r="A147" s="35" t="s">
        <v>37</v>
      </c>
      <c r="B147" s="460" t="s">
        <v>38</v>
      </c>
      <c r="C147" s="461"/>
      <c r="D147" s="14" t="s">
        <v>39</v>
      </c>
      <c r="E147" s="15" t="s">
        <v>207</v>
      </c>
      <c r="F147" s="15" t="s">
        <v>58</v>
      </c>
      <c r="G147" s="15" t="s">
        <v>59</v>
      </c>
    </row>
    <row r="148" spans="1:7" ht="14.25" customHeight="1">
      <c r="A148" s="21" t="s">
        <v>9</v>
      </c>
      <c r="B148" s="470" t="s">
        <v>149</v>
      </c>
      <c r="C148" s="470"/>
      <c r="D148" s="21" t="s">
        <v>85</v>
      </c>
      <c r="E148" s="41"/>
      <c r="F148" s="41"/>
      <c r="G148" s="41">
        <v>20</v>
      </c>
    </row>
    <row r="149" spans="1:7" ht="14.25" customHeight="1">
      <c r="A149" s="21" t="s">
        <v>45</v>
      </c>
      <c r="B149" s="470" t="s">
        <v>150</v>
      </c>
      <c r="C149" s="470"/>
      <c r="D149" s="21" t="s">
        <v>85</v>
      </c>
      <c r="E149" s="41"/>
      <c r="F149" s="41"/>
      <c r="G149" s="41">
        <v>20</v>
      </c>
    </row>
    <row r="150" spans="1:7" ht="15" customHeight="1">
      <c r="A150" s="21" t="s">
        <v>14</v>
      </c>
      <c r="B150" s="470" t="s">
        <v>151</v>
      </c>
      <c r="C150" s="470"/>
      <c r="D150" s="21" t="s">
        <v>96</v>
      </c>
      <c r="E150" s="41">
        <v>2</v>
      </c>
      <c r="F150" s="41">
        <v>271.78</v>
      </c>
      <c r="G150" s="42">
        <f aca="true" t="shared" si="1" ref="G150:G156">E150*F150</f>
        <v>543.56</v>
      </c>
    </row>
    <row r="151" spans="1:7" ht="14.25">
      <c r="A151" s="21" t="s">
        <v>49</v>
      </c>
      <c r="B151" s="470" t="s">
        <v>152</v>
      </c>
      <c r="C151" s="470"/>
      <c r="D151" s="21" t="s">
        <v>96</v>
      </c>
      <c r="E151" s="41">
        <v>1</v>
      </c>
      <c r="F151" s="43">
        <v>14</v>
      </c>
      <c r="G151" s="41">
        <f t="shared" si="1"/>
        <v>14</v>
      </c>
    </row>
    <row r="152" spans="1:7" ht="15" customHeight="1">
      <c r="A152" s="21" t="s">
        <v>19</v>
      </c>
      <c r="B152" s="470" t="s">
        <v>153</v>
      </c>
      <c r="C152" s="470"/>
      <c r="D152" s="21"/>
      <c r="E152" s="41"/>
      <c r="F152" s="41"/>
      <c r="G152" s="41">
        <f>E152*F152</f>
        <v>0</v>
      </c>
    </row>
    <row r="153" spans="1:7" ht="15" customHeight="1">
      <c r="A153" s="21" t="s">
        <v>54</v>
      </c>
      <c r="B153" s="470" t="s">
        <v>154</v>
      </c>
      <c r="C153" s="470"/>
      <c r="D153" s="21"/>
      <c r="E153" s="41"/>
      <c r="F153" s="41"/>
      <c r="G153" s="41">
        <f t="shared" si="1"/>
        <v>0</v>
      </c>
    </row>
    <row r="154" spans="1:7" ht="15" customHeight="1">
      <c r="A154" s="21" t="s">
        <v>22</v>
      </c>
      <c r="B154" s="470" t="s">
        <v>155</v>
      </c>
      <c r="C154" s="470"/>
      <c r="D154" s="21"/>
      <c r="E154" s="41"/>
      <c r="F154" s="41"/>
      <c r="G154" s="41">
        <f t="shared" si="1"/>
        <v>0</v>
      </c>
    </row>
    <row r="155" spans="1:7" ht="15" customHeight="1">
      <c r="A155" s="21" t="s">
        <v>72</v>
      </c>
      <c r="B155" s="470" t="s">
        <v>156</v>
      </c>
      <c r="C155" s="470"/>
      <c r="D155" s="21"/>
      <c r="E155" s="41"/>
      <c r="F155" s="41"/>
      <c r="G155" s="41">
        <f t="shared" si="1"/>
        <v>0</v>
      </c>
    </row>
    <row r="156" spans="1:7" ht="15" customHeight="1">
      <c r="A156" s="21" t="s">
        <v>26</v>
      </c>
      <c r="B156" s="470" t="s">
        <v>157</v>
      </c>
      <c r="C156" s="470"/>
      <c r="D156" s="21" t="s">
        <v>85</v>
      </c>
      <c r="E156" s="41"/>
      <c r="F156" s="41"/>
      <c r="G156" s="41">
        <f t="shared" si="1"/>
        <v>0</v>
      </c>
    </row>
    <row r="157" spans="1:7" ht="15" customHeight="1">
      <c r="A157" s="21"/>
      <c r="B157" s="477" t="s">
        <v>158</v>
      </c>
      <c r="C157" s="478"/>
      <c r="D157" s="21"/>
      <c r="E157" s="22"/>
      <c r="F157" s="21"/>
      <c r="G157" s="24">
        <f>SUM(G148:G156)</f>
        <v>597.56</v>
      </c>
    </row>
    <row r="158" ht="14.25">
      <c r="A158" s="4"/>
    </row>
    <row r="159" ht="14.25">
      <c r="A159" s="13" t="s">
        <v>159</v>
      </c>
    </row>
    <row r="160" ht="15" thickBot="1">
      <c r="A160" s="13"/>
    </row>
    <row r="161" spans="1:7" ht="28.5" customHeight="1">
      <c r="A161" s="485" t="s">
        <v>37</v>
      </c>
      <c r="B161" s="460" t="s">
        <v>38</v>
      </c>
      <c r="C161" s="461"/>
      <c r="D161" s="14" t="s">
        <v>39</v>
      </c>
      <c r="E161" s="15" t="s">
        <v>207</v>
      </c>
      <c r="F161" s="15" t="s">
        <v>58</v>
      </c>
      <c r="G161" s="15" t="s">
        <v>59</v>
      </c>
    </row>
    <row r="162" spans="1:7" ht="15" customHeight="1">
      <c r="A162" s="486"/>
      <c r="B162" s="462"/>
      <c r="C162" s="469"/>
      <c r="D162" s="55"/>
      <c r="E162" s="56"/>
      <c r="F162" s="56"/>
      <c r="G162" s="56"/>
    </row>
    <row r="163" spans="1:7" ht="15" customHeight="1">
      <c r="A163" s="21" t="s">
        <v>9</v>
      </c>
      <c r="B163" s="483" t="s">
        <v>160</v>
      </c>
      <c r="C163" s="483"/>
      <c r="D163" s="21" t="s">
        <v>85</v>
      </c>
      <c r="E163" s="21"/>
      <c r="F163" s="21"/>
      <c r="G163" s="21">
        <f>E163*F163</f>
        <v>0</v>
      </c>
    </row>
    <row r="164" spans="1:7" ht="15" customHeight="1">
      <c r="A164" s="21"/>
      <c r="B164" s="476"/>
      <c r="C164" s="476"/>
      <c r="D164" s="21"/>
      <c r="E164" s="21"/>
      <c r="F164" s="21"/>
      <c r="G164" s="21"/>
    </row>
    <row r="165" spans="1:7" ht="15" customHeight="1">
      <c r="A165" s="21"/>
      <c r="B165" s="477" t="s">
        <v>161</v>
      </c>
      <c r="C165" s="478"/>
      <c r="D165" s="21"/>
      <c r="E165" s="21"/>
      <c r="F165" s="21"/>
      <c r="G165" s="21">
        <f>SUM(G163:G164)</f>
        <v>0</v>
      </c>
    </row>
    <row r="166" ht="15" customHeight="1">
      <c r="A166" s="4"/>
    </row>
    <row r="167" ht="14.25">
      <c r="A167" s="13" t="s">
        <v>162</v>
      </c>
    </row>
    <row r="168" ht="15" thickBot="1">
      <c r="A168" s="13"/>
    </row>
    <row r="169" spans="1:7" ht="28.5" customHeight="1">
      <c r="A169" s="35" t="s">
        <v>37</v>
      </c>
      <c r="B169" s="460" t="s">
        <v>38</v>
      </c>
      <c r="C169" s="461"/>
      <c r="D169" s="14" t="s">
        <v>39</v>
      </c>
      <c r="E169" s="15" t="s">
        <v>207</v>
      </c>
      <c r="F169" s="15" t="s">
        <v>58</v>
      </c>
      <c r="G169" s="15" t="s">
        <v>59</v>
      </c>
    </row>
    <row r="170" spans="1:7" ht="14.25" customHeight="1">
      <c r="A170" s="21" t="s">
        <v>9</v>
      </c>
      <c r="B170" s="470" t="s">
        <v>163</v>
      </c>
      <c r="C170" s="470"/>
      <c r="D170" s="21"/>
      <c r="E170" s="21"/>
      <c r="F170" s="21"/>
      <c r="G170" s="21"/>
    </row>
    <row r="171" spans="1:7" ht="14.25" customHeight="1">
      <c r="A171" s="21"/>
      <c r="B171" s="470" t="s">
        <v>164</v>
      </c>
      <c r="C171" s="470"/>
      <c r="D171" s="21" t="s">
        <v>165</v>
      </c>
      <c r="E171" s="41" t="s">
        <v>166</v>
      </c>
      <c r="F171" s="41">
        <v>77</v>
      </c>
      <c r="G171" s="41">
        <f>77*1</f>
        <v>77</v>
      </c>
    </row>
    <row r="172" spans="1:7" ht="14.25" customHeight="1">
      <c r="A172" s="21"/>
      <c r="B172" s="470" t="s">
        <v>167</v>
      </c>
      <c r="C172" s="470"/>
      <c r="D172" s="21" t="s">
        <v>165</v>
      </c>
      <c r="E172" s="41" t="s">
        <v>166</v>
      </c>
      <c r="F172" s="41">
        <v>77</v>
      </c>
      <c r="G172" s="41">
        <f>77*1</f>
        <v>77</v>
      </c>
    </row>
    <row r="173" spans="1:7" ht="14.25" customHeight="1">
      <c r="A173" s="21"/>
      <c r="B173" s="470" t="s">
        <v>168</v>
      </c>
      <c r="C173" s="470"/>
      <c r="D173" s="21" t="s">
        <v>165</v>
      </c>
      <c r="E173" s="41" t="s">
        <v>169</v>
      </c>
      <c r="F173" s="41">
        <v>49</v>
      </c>
      <c r="G173" s="41">
        <f>49*3</f>
        <v>147</v>
      </c>
    </row>
    <row r="174" spans="1:7" ht="29.25" customHeight="1">
      <c r="A174" s="21" t="s">
        <v>45</v>
      </c>
      <c r="B174" s="470" t="s">
        <v>170</v>
      </c>
      <c r="C174" s="470"/>
      <c r="D174" s="21" t="s">
        <v>165</v>
      </c>
      <c r="E174" s="41"/>
      <c r="F174" s="41"/>
      <c r="G174" s="41">
        <f aca="true" t="shared" si="2" ref="G174:G180">E174*F174</f>
        <v>0</v>
      </c>
    </row>
    <row r="175" spans="1:7" ht="15" customHeight="1">
      <c r="A175" s="21" t="s">
        <v>14</v>
      </c>
      <c r="B175" s="470" t="s">
        <v>171</v>
      </c>
      <c r="C175" s="470"/>
      <c r="D175" s="21" t="s">
        <v>85</v>
      </c>
      <c r="E175" s="41"/>
      <c r="F175" s="41"/>
      <c r="G175" s="41">
        <f t="shared" si="2"/>
        <v>0</v>
      </c>
    </row>
    <row r="176" spans="1:9" ht="15" customHeight="1">
      <c r="A176" s="21" t="s">
        <v>49</v>
      </c>
      <c r="B176" s="470" t="s">
        <v>172</v>
      </c>
      <c r="C176" s="470"/>
      <c r="D176" s="21" t="s">
        <v>91</v>
      </c>
      <c r="E176" s="41">
        <v>1</v>
      </c>
      <c r="F176" s="44">
        <f>23700*1.27/712.5</f>
        <v>42.24421052631579</v>
      </c>
      <c r="G176" s="42">
        <f t="shared" si="2"/>
        <v>42.24421052631579</v>
      </c>
      <c r="I176" s="2" t="s">
        <v>173</v>
      </c>
    </row>
    <row r="177" spans="1:7" ht="15" customHeight="1">
      <c r="A177" s="21" t="s">
        <v>19</v>
      </c>
      <c r="B177" s="470" t="s">
        <v>174</v>
      </c>
      <c r="C177" s="470"/>
      <c r="D177" s="21" t="s">
        <v>43</v>
      </c>
      <c r="E177" s="41"/>
      <c r="F177" s="41"/>
      <c r="G177" s="41">
        <f t="shared" si="2"/>
        <v>0</v>
      </c>
    </row>
    <row r="178" spans="1:9" ht="14.25" customHeight="1">
      <c r="A178" s="21" t="s">
        <v>54</v>
      </c>
      <c r="B178" s="470" t="s">
        <v>432</v>
      </c>
      <c r="C178" s="470"/>
      <c r="D178" s="21" t="s">
        <v>43</v>
      </c>
      <c r="E178" s="41">
        <f>2/40</f>
        <v>0.05</v>
      </c>
      <c r="F178" s="322">
        <f>17410*1.27/210</f>
        <v>105.28904761904762</v>
      </c>
      <c r="G178" s="290">
        <f>E178*F178</f>
        <v>5.264452380952381</v>
      </c>
      <c r="H178" s="243"/>
      <c r="I178" s="325" t="s">
        <v>544</v>
      </c>
    </row>
    <row r="179" spans="1:7" ht="14.25" customHeight="1">
      <c r="A179" s="21" t="s">
        <v>22</v>
      </c>
      <c r="B179" s="470" t="s">
        <v>176</v>
      </c>
      <c r="C179" s="470"/>
      <c r="D179" s="21" t="s">
        <v>43</v>
      </c>
      <c r="E179" s="41"/>
      <c r="F179" s="41"/>
      <c r="G179" s="41">
        <f t="shared" si="2"/>
        <v>0</v>
      </c>
    </row>
    <row r="180" spans="1:7" ht="15" customHeight="1">
      <c r="A180" s="21" t="s">
        <v>72</v>
      </c>
      <c r="B180" s="470" t="s">
        <v>209</v>
      </c>
      <c r="C180" s="470"/>
      <c r="D180" s="21" t="s">
        <v>85</v>
      </c>
      <c r="E180" s="41"/>
      <c r="F180" s="41"/>
      <c r="G180" s="41">
        <f t="shared" si="2"/>
        <v>0</v>
      </c>
    </row>
    <row r="181" spans="1:7" ht="15" customHeight="1">
      <c r="A181" s="21"/>
      <c r="B181" s="477" t="s">
        <v>177</v>
      </c>
      <c r="C181" s="478"/>
      <c r="D181" s="21"/>
      <c r="E181" s="21"/>
      <c r="F181" s="21"/>
      <c r="G181" s="24">
        <f>SUM(G171:G180)</f>
        <v>348.50866290726816</v>
      </c>
    </row>
    <row r="182" ht="13.5" customHeight="1">
      <c r="A182" s="4"/>
    </row>
    <row r="183" ht="14.25">
      <c r="A183" s="13" t="s">
        <v>178</v>
      </c>
    </row>
    <row r="184" ht="15" thickBot="1">
      <c r="A184" s="13"/>
    </row>
    <row r="185" spans="1:7" ht="28.5" customHeight="1">
      <c r="A185" s="35" t="s">
        <v>37</v>
      </c>
      <c r="B185" s="460" t="s">
        <v>38</v>
      </c>
      <c r="C185" s="461"/>
      <c r="D185" s="14" t="s">
        <v>39</v>
      </c>
      <c r="E185" s="15" t="s">
        <v>207</v>
      </c>
      <c r="F185" s="15" t="s">
        <v>58</v>
      </c>
      <c r="G185" s="15" t="s">
        <v>59</v>
      </c>
    </row>
    <row r="186" spans="1:7" ht="15" customHeight="1">
      <c r="A186" s="21" t="s">
        <v>9</v>
      </c>
      <c r="B186" s="470" t="s">
        <v>179</v>
      </c>
      <c r="C186" s="470"/>
      <c r="D186" s="21" t="s">
        <v>180</v>
      </c>
      <c r="E186" s="41">
        <v>1</v>
      </c>
      <c r="F186" s="41"/>
      <c r="G186" s="41">
        <f>E186*F186</f>
        <v>0</v>
      </c>
    </row>
    <row r="187" spans="1:7" ht="15" customHeight="1">
      <c r="A187" s="21" t="s">
        <v>45</v>
      </c>
      <c r="B187" s="470" t="s">
        <v>181</v>
      </c>
      <c r="C187" s="470"/>
      <c r="D187" s="21" t="s">
        <v>180</v>
      </c>
      <c r="E187" s="41">
        <v>1</v>
      </c>
      <c r="F187" s="41"/>
      <c r="G187" s="41">
        <f>E187*F187</f>
        <v>0</v>
      </c>
    </row>
    <row r="188" spans="1:7" ht="15" customHeight="1">
      <c r="A188" s="21" t="s">
        <v>14</v>
      </c>
      <c r="B188" s="470" t="s">
        <v>182</v>
      </c>
      <c r="C188" s="470"/>
      <c r="D188" s="21" t="s">
        <v>180</v>
      </c>
      <c r="E188" s="41">
        <v>1</v>
      </c>
      <c r="F188" s="41"/>
      <c r="G188" s="41">
        <f>E188*F188</f>
        <v>0</v>
      </c>
    </row>
    <row r="189" spans="1:7" ht="15" customHeight="1">
      <c r="A189" s="21"/>
      <c r="B189" s="477" t="s">
        <v>183</v>
      </c>
      <c r="C189" s="478"/>
      <c r="D189" s="21"/>
      <c r="E189" s="21"/>
      <c r="F189" s="21"/>
      <c r="G189" s="24">
        <f>SUM(G186:G188)</f>
        <v>0</v>
      </c>
    </row>
    <row r="190" ht="14.25">
      <c r="A190" s="4"/>
    </row>
    <row r="191" ht="14.25">
      <c r="A191" s="4"/>
    </row>
    <row r="192" ht="14.25">
      <c r="A192" s="4" t="s">
        <v>184</v>
      </c>
    </row>
    <row r="193" ht="15" thickBot="1">
      <c r="A193" s="4"/>
    </row>
    <row r="194" spans="1:7" ht="28.5" customHeight="1">
      <c r="A194" s="35" t="s">
        <v>37</v>
      </c>
      <c r="B194" s="460" t="s">
        <v>38</v>
      </c>
      <c r="C194" s="461"/>
      <c r="D194" s="14" t="s">
        <v>39</v>
      </c>
      <c r="E194" s="15" t="s">
        <v>210</v>
      </c>
      <c r="F194" s="58" t="s">
        <v>58</v>
      </c>
      <c r="G194" s="58" t="s">
        <v>59</v>
      </c>
    </row>
    <row r="195" spans="1:7" ht="15" customHeight="1">
      <c r="A195" s="21" t="s">
        <v>9</v>
      </c>
      <c r="B195" s="470" t="s">
        <v>185</v>
      </c>
      <c r="C195" s="470"/>
      <c r="D195" s="21" t="s">
        <v>85</v>
      </c>
      <c r="E195" s="41">
        <v>1</v>
      </c>
      <c r="F195" s="59">
        <v>32.6</v>
      </c>
      <c r="G195" s="60">
        <f>E195*F195</f>
        <v>32.6</v>
      </c>
    </row>
    <row r="196" spans="1:7" ht="14.25" customHeight="1">
      <c r="A196" s="21" t="s">
        <v>45</v>
      </c>
      <c r="B196" s="470" t="s">
        <v>186</v>
      </c>
      <c r="C196" s="470"/>
      <c r="D196" s="21" t="s">
        <v>85</v>
      </c>
      <c r="E196" s="61"/>
      <c r="F196" s="44">
        <f>(1151.55+210.41+5.7+145.58)*1.2</f>
        <v>1815.888</v>
      </c>
      <c r="G196" s="42">
        <f>F196*E195</f>
        <v>1815.888</v>
      </c>
    </row>
    <row r="197" spans="1:7" ht="14.25" customHeight="1">
      <c r="A197" s="21" t="s">
        <v>14</v>
      </c>
      <c r="B197" s="470" t="s">
        <v>187</v>
      </c>
      <c r="C197" s="470"/>
      <c r="D197" s="21" t="s">
        <v>85</v>
      </c>
      <c r="E197" s="61"/>
      <c r="F197" s="61"/>
      <c r="G197" s="61"/>
    </row>
    <row r="198" spans="1:7" ht="14.25">
      <c r="A198" s="21" t="s">
        <v>49</v>
      </c>
      <c r="B198" s="470" t="s">
        <v>188</v>
      </c>
      <c r="C198" s="470"/>
      <c r="D198" s="21" t="s">
        <v>85</v>
      </c>
      <c r="E198" s="61"/>
      <c r="F198" s="61"/>
      <c r="G198" s="61"/>
    </row>
    <row r="199" spans="1:7" ht="15" customHeight="1">
      <c r="A199" s="21" t="s">
        <v>19</v>
      </c>
      <c r="B199" s="470" t="s">
        <v>189</v>
      </c>
      <c r="C199" s="470"/>
      <c r="D199" s="21" t="s">
        <v>85</v>
      </c>
      <c r="E199" s="61"/>
      <c r="F199" s="61"/>
      <c r="G199" s="61"/>
    </row>
    <row r="200" spans="1:10" ht="15" customHeight="1">
      <c r="A200" s="21" t="s">
        <v>54</v>
      </c>
      <c r="B200" s="470" t="s">
        <v>190</v>
      </c>
      <c r="C200" s="470"/>
      <c r="D200" s="21" t="s">
        <v>101</v>
      </c>
      <c r="E200" s="241">
        <f>J200/F200</f>
        <v>36.14965006701</v>
      </c>
      <c r="F200" s="43">
        <v>1.68</v>
      </c>
      <c r="G200" s="240">
        <f>E200*F200</f>
        <v>60.7314121125768</v>
      </c>
      <c r="H200" s="54"/>
      <c r="I200" s="448">
        <f>1288300*0.4/8485.23</f>
        <v>60.7314121125768</v>
      </c>
      <c r="J200" s="448">
        <f>I200*E195</f>
        <v>60.7314121125768</v>
      </c>
    </row>
    <row r="201" spans="1:10" ht="15" customHeight="1">
      <c r="A201" s="21" t="s">
        <v>22</v>
      </c>
      <c r="B201" s="470" t="s">
        <v>191</v>
      </c>
      <c r="C201" s="470"/>
      <c r="D201" s="21" t="s">
        <v>192</v>
      </c>
      <c r="E201" s="446">
        <f>J201/F201</f>
        <v>0.20116605241079735</v>
      </c>
      <c r="F201" s="43">
        <f>987*1.2</f>
        <v>1184.3999999999999</v>
      </c>
      <c r="G201" s="240">
        <f>E201*F201</f>
        <v>238.26107247534836</v>
      </c>
      <c r="H201" s="54"/>
      <c r="I201" s="448">
        <f>2021700/8485.23</f>
        <v>238.26107247534836</v>
      </c>
      <c r="J201" s="448">
        <f>I201*E195</f>
        <v>238.26107247534836</v>
      </c>
    </row>
    <row r="202" spans="1:10" ht="15" customHeight="1">
      <c r="A202" s="21" t="s">
        <v>72</v>
      </c>
      <c r="B202" s="470" t="s">
        <v>193</v>
      </c>
      <c r="C202" s="470"/>
      <c r="D202" s="21" t="s">
        <v>85</v>
      </c>
      <c r="E202" s="447"/>
      <c r="F202" s="241">
        <f>(229000+16300)/8485.23</f>
        <v>28.909057267746427</v>
      </c>
      <c r="G202" s="240">
        <f>F202*E195</f>
        <v>28.909057267746427</v>
      </c>
      <c r="H202" s="54"/>
      <c r="I202" s="54"/>
      <c r="J202" s="54"/>
    </row>
    <row r="203" spans="1:10" ht="14.25" customHeight="1">
      <c r="A203" s="21" t="s">
        <v>26</v>
      </c>
      <c r="B203" s="470" t="s">
        <v>194</v>
      </c>
      <c r="C203" s="470"/>
      <c r="D203" s="21" t="s">
        <v>85</v>
      </c>
      <c r="E203" s="447"/>
      <c r="F203" s="43">
        <v>2693.4</v>
      </c>
      <c r="G203" s="240">
        <f>F203*E195</f>
        <v>2693.4</v>
      </c>
      <c r="H203" s="54"/>
      <c r="I203" s="54"/>
      <c r="J203" s="54"/>
    </row>
    <row r="204" spans="1:10" ht="15" customHeight="1">
      <c r="A204" s="21" t="s">
        <v>31</v>
      </c>
      <c r="B204" s="470" t="s">
        <v>195</v>
      </c>
      <c r="C204" s="470"/>
      <c r="D204" s="21" t="s">
        <v>85</v>
      </c>
      <c r="E204" s="447"/>
      <c r="F204" s="43">
        <v>300.6</v>
      </c>
      <c r="G204" s="240">
        <f>F204*E195</f>
        <v>300.6</v>
      </c>
      <c r="H204" s="54"/>
      <c r="I204" s="54"/>
      <c r="J204" s="54"/>
    </row>
    <row r="205" spans="1:10" ht="15" customHeight="1">
      <c r="A205" s="21" t="s">
        <v>79</v>
      </c>
      <c r="B205" s="470" t="s">
        <v>196</v>
      </c>
      <c r="C205" s="470"/>
      <c r="D205" s="21" t="s">
        <v>85</v>
      </c>
      <c r="E205" s="447"/>
      <c r="F205" s="43">
        <v>1242.8</v>
      </c>
      <c r="G205" s="240">
        <f>F205*E195</f>
        <v>1242.8</v>
      </c>
      <c r="H205" s="54"/>
      <c r="I205" s="54"/>
      <c r="J205" s="54"/>
    </row>
    <row r="206" ht="14.25">
      <c r="A206" s="4"/>
    </row>
    <row r="207" ht="14.25">
      <c r="A207" s="4" t="s">
        <v>197</v>
      </c>
    </row>
    <row r="208" ht="15" thickBot="1">
      <c r="A208" s="13"/>
    </row>
    <row r="209" spans="1:7" ht="14.25" customHeight="1">
      <c r="A209" s="485" t="s">
        <v>37</v>
      </c>
      <c r="B209" s="460" t="s">
        <v>38</v>
      </c>
      <c r="C209" s="461"/>
      <c r="D209" s="14" t="s">
        <v>198</v>
      </c>
      <c r="E209" s="460" t="s">
        <v>59</v>
      </c>
      <c r="F209" s="474"/>
      <c r="G209" s="461"/>
    </row>
    <row r="210" spans="1:7" ht="14.25">
      <c r="A210" s="486"/>
      <c r="B210" s="462"/>
      <c r="C210" s="469"/>
      <c r="D210" s="55" t="s">
        <v>199</v>
      </c>
      <c r="E210" s="462"/>
      <c r="F210" s="475"/>
      <c r="G210" s="469"/>
    </row>
    <row r="211" spans="1:7" ht="15" customHeight="1">
      <c r="A211" s="21" t="s">
        <v>9</v>
      </c>
      <c r="B211" s="470" t="s">
        <v>200</v>
      </c>
      <c r="C211" s="470"/>
      <c r="D211" s="21" t="s">
        <v>85</v>
      </c>
      <c r="E211" s="471">
        <f>G44+G58+G62+G63+G96+G117+G129+G142+G157+G165+G181+G189</f>
        <v>17494.025084361132</v>
      </c>
      <c r="F211" s="472"/>
      <c r="G211" s="472"/>
    </row>
    <row r="212" spans="1:7" ht="15" customHeight="1">
      <c r="A212" s="21" t="s">
        <v>45</v>
      </c>
      <c r="B212" s="470" t="s">
        <v>201</v>
      </c>
      <c r="C212" s="470"/>
      <c r="D212" s="21" t="s">
        <v>85</v>
      </c>
      <c r="E212" s="471">
        <f>SUM(G195:G205)</f>
        <v>6413.189541855672</v>
      </c>
      <c r="F212" s="471"/>
      <c r="G212" s="471"/>
    </row>
    <row r="213" spans="1:7" ht="14.25">
      <c r="A213" s="21" t="s">
        <v>14</v>
      </c>
      <c r="B213" s="470" t="s">
        <v>202</v>
      </c>
      <c r="C213" s="470"/>
      <c r="D213" s="21" t="s">
        <v>85</v>
      </c>
      <c r="E213" s="471">
        <f>SUM(E211:G212)</f>
        <v>23907.214626216803</v>
      </c>
      <c r="F213" s="472"/>
      <c r="G213" s="472"/>
    </row>
    <row r="214" spans="1:7" ht="15" customHeight="1">
      <c r="A214" s="21">
        <v>4</v>
      </c>
      <c r="B214" s="470" t="s">
        <v>203</v>
      </c>
      <c r="C214" s="470"/>
      <c r="D214" s="21" t="s">
        <v>85</v>
      </c>
      <c r="E214" s="473"/>
      <c r="F214" s="473"/>
      <c r="G214" s="473"/>
    </row>
    <row r="215" spans="1:7" ht="15" customHeight="1">
      <c r="A215" s="21" t="s">
        <v>19</v>
      </c>
      <c r="B215" s="470" t="s">
        <v>204</v>
      </c>
      <c r="C215" s="470"/>
      <c r="D215" s="21" t="s">
        <v>85</v>
      </c>
      <c r="E215" s="468">
        <f>E213-E214</f>
        <v>23907.214626216803</v>
      </c>
      <c r="F215" s="468"/>
      <c r="G215" s="468"/>
    </row>
    <row r="216" ht="14.25">
      <c r="A216" s="34"/>
    </row>
    <row r="217" ht="14.25">
      <c r="A217" s="34"/>
    </row>
    <row r="218" spans="2:3" ht="14.25">
      <c r="B218" s="62" t="s">
        <v>63</v>
      </c>
      <c r="C218" s="2" t="s">
        <v>205</v>
      </c>
    </row>
    <row r="219" ht="14.25">
      <c r="A219" s="34"/>
    </row>
    <row r="220" ht="14.25">
      <c r="B220" s="62" t="s">
        <v>206</v>
      </c>
    </row>
  </sheetData>
  <sheetProtection/>
  <mergeCells count="165">
    <mergeCell ref="B117:C117"/>
    <mergeCell ref="B129:C129"/>
    <mergeCell ref="B122:C122"/>
    <mergeCell ref="B113:C113"/>
    <mergeCell ref="B114:C114"/>
    <mergeCell ref="B115:C115"/>
    <mergeCell ref="B71:C71"/>
    <mergeCell ref="B72:C72"/>
    <mergeCell ref="B78:C78"/>
    <mergeCell ref="B109:C109"/>
    <mergeCell ref="B94:C94"/>
    <mergeCell ref="B101:C101"/>
    <mergeCell ref="B102:C102"/>
    <mergeCell ref="B107:C107"/>
    <mergeCell ref="B73:C73"/>
    <mergeCell ref="B74:C74"/>
    <mergeCell ref="A33:A34"/>
    <mergeCell ref="B44:C44"/>
    <mergeCell ref="B62:C62"/>
    <mergeCell ref="B63:C63"/>
    <mergeCell ref="A40:A43"/>
    <mergeCell ref="B36:C36"/>
    <mergeCell ref="B37:C37"/>
    <mergeCell ref="B38:C38"/>
    <mergeCell ref="B39:C39"/>
    <mergeCell ref="B40:C40"/>
    <mergeCell ref="A209:A210"/>
    <mergeCell ref="B123:C123"/>
    <mergeCell ref="B124:C124"/>
    <mergeCell ref="B125:C125"/>
    <mergeCell ref="B126:C126"/>
    <mergeCell ref="B127:C127"/>
    <mergeCell ref="B140:C140"/>
    <mergeCell ref="A161:A162"/>
    <mergeCell ref="B161:C162"/>
    <mergeCell ref="B163:C163"/>
    <mergeCell ref="A47:A48"/>
    <mergeCell ref="B154:C154"/>
    <mergeCell ref="A81:C81"/>
    <mergeCell ref="A82:C82"/>
    <mergeCell ref="B153:C153"/>
    <mergeCell ref="B152:C152"/>
    <mergeCell ref="B149:C149"/>
    <mergeCell ref="B150:C150"/>
    <mergeCell ref="B151:C151"/>
    <mergeCell ref="B141:C141"/>
    <mergeCell ref="D134:G134"/>
    <mergeCell ref="B142:C142"/>
    <mergeCell ref="B148:C148"/>
    <mergeCell ref="B147:C147"/>
    <mergeCell ref="B135:C135"/>
    <mergeCell ref="B136:C136"/>
    <mergeCell ref="B137:C137"/>
    <mergeCell ref="B139:C139"/>
    <mergeCell ref="B134:C134"/>
    <mergeCell ref="F47:F48"/>
    <mergeCell ref="G47:G48"/>
    <mergeCell ref="B79:C79"/>
    <mergeCell ref="B80:C80"/>
    <mergeCell ref="B69:C69"/>
    <mergeCell ref="B70:C70"/>
    <mergeCell ref="A68:C68"/>
    <mergeCell ref="B75:C75"/>
    <mergeCell ref="B76:C76"/>
    <mergeCell ref="B77:C77"/>
    <mergeCell ref="B88:C88"/>
    <mergeCell ref="A67:C67"/>
    <mergeCell ref="D135:G135"/>
    <mergeCell ref="B85:C85"/>
    <mergeCell ref="B83:C83"/>
    <mergeCell ref="B84:C84"/>
    <mergeCell ref="A86:C86"/>
    <mergeCell ref="A87:C87"/>
    <mergeCell ref="A92:C92"/>
    <mergeCell ref="B104:C104"/>
    <mergeCell ref="B105:C105"/>
    <mergeCell ref="B93:C93"/>
    <mergeCell ref="B110:C110"/>
    <mergeCell ref="B138:C138"/>
    <mergeCell ref="B111:C111"/>
    <mergeCell ref="B112:C112"/>
    <mergeCell ref="B128:C128"/>
    <mergeCell ref="B116:C116"/>
    <mergeCell ref="B133:C133"/>
    <mergeCell ref="B106:C106"/>
    <mergeCell ref="B90:C90"/>
    <mergeCell ref="B89:C89"/>
    <mergeCell ref="B103:C103"/>
    <mergeCell ref="B100:C100"/>
    <mergeCell ref="B96:C96"/>
    <mergeCell ref="B95:C95"/>
    <mergeCell ref="B108:C108"/>
    <mergeCell ref="B175:C175"/>
    <mergeCell ref="B176:C176"/>
    <mergeCell ref="B177:C177"/>
    <mergeCell ref="B174:C174"/>
    <mergeCell ref="B157:C157"/>
    <mergeCell ref="B156:C156"/>
    <mergeCell ref="B155:C155"/>
    <mergeCell ref="B172:C172"/>
    <mergeCell ref="B170:C170"/>
    <mergeCell ref="B189:C189"/>
    <mergeCell ref="B178:C178"/>
    <mergeCell ref="B179:C179"/>
    <mergeCell ref="B180:C180"/>
    <mergeCell ref="B186:C186"/>
    <mergeCell ref="B187:C187"/>
    <mergeCell ref="B188:C188"/>
    <mergeCell ref="B181:C181"/>
    <mergeCell ref="B42:C42"/>
    <mergeCell ref="B43:C43"/>
    <mergeCell ref="B195:C195"/>
    <mergeCell ref="B173:C173"/>
    <mergeCell ref="B164:C164"/>
    <mergeCell ref="B165:C165"/>
    <mergeCell ref="B169:C169"/>
    <mergeCell ref="B171:C171"/>
    <mergeCell ref="B185:C185"/>
    <mergeCell ref="B194:C194"/>
    <mergeCell ref="B205:C205"/>
    <mergeCell ref="E209:G210"/>
    <mergeCell ref="B196:C196"/>
    <mergeCell ref="B197:C197"/>
    <mergeCell ref="B198:C198"/>
    <mergeCell ref="B199:C199"/>
    <mergeCell ref="B215:C215"/>
    <mergeCell ref="E211:G211"/>
    <mergeCell ref="E212:G212"/>
    <mergeCell ref="E213:G213"/>
    <mergeCell ref="B200:C200"/>
    <mergeCell ref="B201:C201"/>
    <mergeCell ref="B202:C202"/>
    <mergeCell ref="E214:G214"/>
    <mergeCell ref="B203:C203"/>
    <mergeCell ref="B204:C204"/>
    <mergeCell ref="D16:E16"/>
    <mergeCell ref="D18:E18"/>
    <mergeCell ref="D20:E20"/>
    <mergeCell ref="D22:E22"/>
    <mergeCell ref="E215:G215"/>
    <mergeCell ref="B209:C210"/>
    <mergeCell ref="B211:C211"/>
    <mergeCell ref="B212:C212"/>
    <mergeCell ref="B213:C213"/>
    <mergeCell ref="B214:C214"/>
    <mergeCell ref="B28:G28"/>
    <mergeCell ref="C26:G26"/>
    <mergeCell ref="B47:C47"/>
    <mergeCell ref="B66:C66"/>
    <mergeCell ref="B61:C61"/>
    <mergeCell ref="D47:D48"/>
    <mergeCell ref="E47:E48"/>
    <mergeCell ref="B33:C34"/>
    <mergeCell ref="B35:C35"/>
    <mergeCell ref="B41:C41"/>
    <mergeCell ref="A7:G7"/>
    <mergeCell ref="A8:G8"/>
    <mergeCell ref="A9:G9"/>
    <mergeCell ref="B27:G27"/>
    <mergeCell ref="D24:E24"/>
    <mergeCell ref="F16:G16"/>
    <mergeCell ref="F18:G18"/>
    <mergeCell ref="F20:G20"/>
    <mergeCell ref="F22:G22"/>
    <mergeCell ref="F24:G24"/>
  </mergeCells>
  <printOptions/>
  <pageMargins left="0.15748031496062992" right="0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91">
      <selection activeCell="F201" sqref="F201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317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318</v>
      </c>
      <c r="D18" s="596" t="s">
        <v>17</v>
      </c>
      <c r="E18" s="597"/>
      <c r="F18" s="596" t="s">
        <v>319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236" t="s">
        <v>611</v>
      </c>
      <c r="D20" s="596" t="s">
        <v>21</v>
      </c>
      <c r="E20" s="597"/>
      <c r="F20" s="596" t="s">
        <v>612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320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215</v>
      </c>
      <c r="D24" s="594" t="s">
        <v>321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545</v>
      </c>
      <c r="D26" s="592"/>
      <c r="E26" s="592"/>
      <c r="F26" s="592"/>
      <c r="G26" s="593"/>
    </row>
    <row r="27" spans="1:7" ht="15" thickBot="1">
      <c r="A27" s="75"/>
      <c r="B27" s="591" t="s">
        <v>546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322</v>
      </c>
      <c r="C36" s="613"/>
      <c r="D36" s="84" t="s">
        <v>43</v>
      </c>
      <c r="E36" s="85">
        <v>5</v>
      </c>
      <c r="F36" s="86">
        <f>F50/12</f>
        <v>3.053473263368316</v>
      </c>
      <c r="G36" s="85">
        <f>E36*F36</f>
        <v>15.26736631684158</v>
      </c>
    </row>
    <row r="37" spans="1:7" ht="15" customHeight="1">
      <c r="A37" s="84" t="s">
        <v>45</v>
      </c>
      <c r="B37" s="613" t="s">
        <v>323</v>
      </c>
      <c r="C37" s="613"/>
      <c r="D37" s="84" t="s">
        <v>43</v>
      </c>
      <c r="E37" s="84">
        <v>15</v>
      </c>
      <c r="F37" s="86">
        <f>F50/12</f>
        <v>3.053473263368316</v>
      </c>
      <c r="G37" s="85">
        <f>E37*F37</f>
        <v>45.80209895052474</v>
      </c>
    </row>
    <row r="38" spans="1:7" ht="15" customHeight="1">
      <c r="A38" s="84" t="s">
        <v>14</v>
      </c>
      <c r="B38" s="613" t="s">
        <v>325</v>
      </c>
      <c r="C38" s="613"/>
      <c r="D38" s="84" t="s">
        <v>43</v>
      </c>
      <c r="E38" s="94" t="s">
        <v>334</v>
      </c>
      <c r="F38" s="86">
        <f>(F50+F53)/2/12</f>
        <v>2.7961019490254873</v>
      </c>
      <c r="G38" s="85">
        <f>5*F38*2</f>
        <v>27.961019490254873</v>
      </c>
    </row>
    <row r="39" spans="1:7" ht="15" customHeight="1">
      <c r="A39" s="84" t="s">
        <v>49</v>
      </c>
      <c r="B39" s="613" t="s">
        <v>324</v>
      </c>
      <c r="C39" s="613"/>
      <c r="D39" s="84" t="s">
        <v>43</v>
      </c>
      <c r="E39" s="84">
        <v>5</v>
      </c>
      <c r="F39" s="86">
        <f>F50/12</f>
        <v>3.053473263368316</v>
      </c>
      <c r="G39" s="85">
        <f>E39*F39</f>
        <v>15.26736631684158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>E40*F40</f>
        <v>0</v>
      </c>
    </row>
    <row r="41" spans="1:7" ht="14.25" customHeight="1">
      <c r="A41" s="627"/>
      <c r="B41" s="607" t="s">
        <v>52</v>
      </c>
      <c r="C41" s="608"/>
      <c r="D41" s="87"/>
      <c r="E41" s="90"/>
      <c r="F41" s="89"/>
      <c r="G41" s="84">
        <f>E41*F41</f>
        <v>0</v>
      </c>
    </row>
    <row r="42" spans="1:7" ht="15.75" customHeight="1">
      <c r="A42" s="627"/>
      <c r="B42" s="607"/>
      <c r="C42" s="608"/>
      <c r="D42" s="87"/>
      <c r="E42" s="90"/>
      <c r="F42" s="89"/>
      <c r="G42" s="84">
        <f>E42*F42</f>
        <v>0</v>
      </c>
    </row>
    <row r="43" spans="1:7" ht="14.25">
      <c r="A43" s="627"/>
      <c r="B43" s="609"/>
      <c r="C43" s="610"/>
      <c r="D43" s="87"/>
      <c r="E43" s="91"/>
      <c r="F43" s="89"/>
      <c r="G43" s="84">
        <f>E43*F43</f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104.29785107446277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2</v>
      </c>
      <c r="F49" s="86">
        <f>6600*12/2001</f>
        <v>39.58020989505248</v>
      </c>
      <c r="G49" s="85">
        <f>E49*F49</f>
        <v>79.16041979010495</v>
      </c>
    </row>
    <row r="50" spans="1:7" ht="15" customHeight="1">
      <c r="A50" s="84">
        <v>2</v>
      </c>
      <c r="B50" s="93" t="s">
        <v>63</v>
      </c>
      <c r="C50" s="93" t="s">
        <v>327</v>
      </c>
      <c r="D50" s="84" t="s">
        <v>43</v>
      </c>
      <c r="E50" s="84">
        <v>15</v>
      </c>
      <c r="F50" s="237">
        <f>6110*12/2001</f>
        <v>36.64167916041979</v>
      </c>
      <c r="G50" s="85">
        <f>E50*F50</f>
        <v>549.6251874062968</v>
      </c>
    </row>
    <row r="51" spans="1:7" ht="15" customHeight="1">
      <c r="A51" s="84">
        <v>3</v>
      </c>
      <c r="B51" s="93" t="s">
        <v>309</v>
      </c>
      <c r="C51" s="93" t="s">
        <v>327</v>
      </c>
      <c r="D51" s="84" t="s">
        <v>43</v>
      </c>
      <c r="E51" s="84">
        <v>2</v>
      </c>
      <c r="F51" s="237">
        <f>6110*12/2001</f>
        <v>36.64167916041979</v>
      </c>
      <c r="G51" s="85">
        <f>E51*F51</f>
        <v>73.28335832083958</v>
      </c>
    </row>
    <row r="52" spans="1:9" ht="15" customHeight="1">
      <c r="A52" s="84">
        <v>4</v>
      </c>
      <c r="B52" s="93" t="s">
        <v>67</v>
      </c>
      <c r="C52" s="93" t="s">
        <v>518</v>
      </c>
      <c r="D52" s="84" t="s">
        <v>43</v>
      </c>
      <c r="E52" s="94" t="s">
        <v>328</v>
      </c>
      <c r="F52" s="237">
        <f>4386*12/2001</f>
        <v>26.302848575712144</v>
      </c>
      <c r="G52" s="85">
        <f>9*F52*6</f>
        <v>1420.3538230884558</v>
      </c>
      <c r="I52" s="440" t="s">
        <v>537</v>
      </c>
    </row>
    <row r="53" spans="1:9" ht="15" customHeight="1">
      <c r="A53" s="84">
        <v>5</v>
      </c>
      <c r="B53" s="93" t="s">
        <v>70</v>
      </c>
      <c r="C53" s="93" t="s">
        <v>329</v>
      </c>
      <c r="D53" s="84" t="s">
        <v>43</v>
      </c>
      <c r="E53" s="84">
        <v>6</v>
      </c>
      <c r="F53" s="237">
        <f>2540*12/1000.5</f>
        <v>30.464767616191903</v>
      </c>
      <c r="G53" s="85">
        <f aca="true" t="shared" si="0" ref="G53:G58">E53*F53</f>
        <v>182.7886056971514</v>
      </c>
      <c r="I53" s="234" t="s">
        <v>316</v>
      </c>
    </row>
    <row r="54" spans="1:9" ht="15" customHeight="1">
      <c r="A54" s="84">
        <v>6</v>
      </c>
      <c r="B54" s="93" t="s">
        <v>73</v>
      </c>
      <c r="C54" s="93" t="s">
        <v>330</v>
      </c>
      <c r="D54" s="84" t="s">
        <v>43</v>
      </c>
      <c r="E54" s="94" t="s">
        <v>242</v>
      </c>
      <c r="F54" s="237">
        <f>4220*12/2001</f>
        <v>25.307346326836583</v>
      </c>
      <c r="G54" s="85">
        <f t="shared" si="0"/>
        <v>75.92203898050975</v>
      </c>
      <c r="I54" s="119"/>
    </row>
    <row r="55" spans="1:7" ht="15" customHeight="1">
      <c r="A55" s="84">
        <v>7</v>
      </c>
      <c r="B55" s="93" t="s">
        <v>75</v>
      </c>
      <c r="C55" s="93" t="s">
        <v>331</v>
      </c>
      <c r="D55" s="84" t="s">
        <v>43</v>
      </c>
      <c r="E55" s="84">
        <v>2</v>
      </c>
      <c r="F55" s="237">
        <f>3470*12/2001</f>
        <v>20.8095952023988</v>
      </c>
      <c r="G55" s="85">
        <f t="shared" si="0"/>
        <v>41.6191904047976</v>
      </c>
    </row>
    <row r="56" spans="1:9" ht="15" customHeight="1">
      <c r="A56" s="84">
        <v>8</v>
      </c>
      <c r="B56" s="93" t="s">
        <v>332</v>
      </c>
      <c r="C56" s="93" t="s">
        <v>333</v>
      </c>
      <c r="D56" s="84" t="s">
        <v>43</v>
      </c>
      <c r="E56" s="84">
        <v>8</v>
      </c>
      <c r="F56" s="237">
        <f>5100*12/2001</f>
        <v>30.584707646176913</v>
      </c>
      <c r="G56" s="85">
        <f t="shared" si="0"/>
        <v>244.6776611694153</v>
      </c>
      <c r="I56" s="234"/>
    </row>
    <row r="57" spans="1:9" ht="15" customHeight="1">
      <c r="A57" s="84">
        <v>9</v>
      </c>
      <c r="B57" s="93" t="s">
        <v>263</v>
      </c>
      <c r="C57" s="93" t="s">
        <v>395</v>
      </c>
      <c r="D57" s="84" t="s">
        <v>43</v>
      </c>
      <c r="E57" s="94" t="s">
        <v>240</v>
      </c>
      <c r="F57" s="86">
        <f>3061*12/2001</f>
        <v>18.356821589205396</v>
      </c>
      <c r="G57" s="85">
        <f t="shared" si="0"/>
        <v>146.85457271364317</v>
      </c>
      <c r="I57" s="234" t="s">
        <v>411</v>
      </c>
    </row>
    <row r="58" spans="1:9" ht="15" customHeight="1">
      <c r="A58" s="84">
        <v>10</v>
      </c>
      <c r="B58" s="93" t="s">
        <v>265</v>
      </c>
      <c r="C58" s="93" t="s">
        <v>395</v>
      </c>
      <c r="D58" s="84" t="s">
        <v>43</v>
      </c>
      <c r="E58" s="94" t="s">
        <v>409</v>
      </c>
      <c r="F58" s="237">
        <f>3894*12/2001</f>
        <v>23.35232383808096</v>
      </c>
      <c r="G58" s="85">
        <f t="shared" si="0"/>
        <v>140.11394302848575</v>
      </c>
      <c r="I58" s="63" t="s">
        <v>211</v>
      </c>
    </row>
    <row r="59" spans="1:7" ht="15" customHeight="1">
      <c r="A59" s="84"/>
      <c r="B59" s="93" t="s">
        <v>82</v>
      </c>
      <c r="C59" s="93"/>
      <c r="D59" s="84"/>
      <c r="E59" s="84"/>
      <c r="F59" s="84"/>
      <c r="G59" s="85">
        <f>SUM(G49:G58)</f>
        <v>2954.3988005997</v>
      </c>
    </row>
    <row r="60" ht="15" customHeight="1">
      <c r="A60" s="95"/>
    </row>
    <row r="61" ht="15" thickBot="1">
      <c r="A61" s="76" t="s">
        <v>83</v>
      </c>
    </row>
    <row r="62" spans="1:7" ht="28.5" customHeight="1">
      <c r="A62" s="96" t="s">
        <v>37</v>
      </c>
      <c r="B62" s="598" t="s">
        <v>38</v>
      </c>
      <c r="C62" s="599"/>
      <c r="D62" s="78" t="s">
        <v>39</v>
      </c>
      <c r="E62" s="78" t="s">
        <v>207</v>
      </c>
      <c r="F62" s="78" t="s">
        <v>58</v>
      </c>
      <c r="G62" s="78" t="s">
        <v>59</v>
      </c>
    </row>
    <row r="63" spans="1:7" ht="15" customHeight="1">
      <c r="A63" s="84" t="s">
        <v>9</v>
      </c>
      <c r="B63" s="613" t="s">
        <v>84</v>
      </c>
      <c r="C63" s="613"/>
      <c r="D63" s="84" t="s">
        <v>85</v>
      </c>
      <c r="E63" s="97"/>
      <c r="F63" s="97"/>
      <c r="G63" s="85">
        <f>(G44+G59)*0.23</f>
        <v>703.5002298850575</v>
      </c>
    </row>
    <row r="64" spans="1:7" ht="15" customHeight="1">
      <c r="A64" s="84" t="s">
        <v>45</v>
      </c>
      <c r="B64" s="613" t="s">
        <v>539</v>
      </c>
      <c r="C64" s="613"/>
      <c r="D64" s="84" t="s">
        <v>85</v>
      </c>
      <c r="E64" s="97"/>
      <c r="F64" s="97"/>
      <c r="G64" s="85">
        <f>(G44+G59)*0.04</f>
        <v>122.3478660669665</v>
      </c>
    </row>
    <row r="65" ht="18" customHeight="1">
      <c r="A65" s="95"/>
    </row>
    <row r="66" ht="15" thickBot="1">
      <c r="A66" s="76" t="s">
        <v>87</v>
      </c>
    </row>
    <row r="67" spans="1:7" ht="27" customHeight="1" thickBot="1">
      <c r="A67" s="78" t="s">
        <v>37</v>
      </c>
      <c r="B67" s="598" t="s">
        <v>38</v>
      </c>
      <c r="C67" s="599"/>
      <c r="D67" s="77" t="s">
        <v>39</v>
      </c>
      <c r="E67" s="96" t="s">
        <v>207</v>
      </c>
      <c r="F67" s="78" t="s">
        <v>58</v>
      </c>
      <c r="G67" s="78" t="s">
        <v>59</v>
      </c>
    </row>
    <row r="68" spans="1:7" ht="15" customHeight="1">
      <c r="A68" s="625"/>
      <c r="B68" s="625"/>
      <c r="C68" s="625"/>
      <c r="D68" s="98"/>
      <c r="E68" s="98"/>
      <c r="F68" s="99"/>
      <c r="G68" s="99"/>
    </row>
    <row r="69" spans="1:7" ht="14.25">
      <c r="A69" s="620" t="s">
        <v>88</v>
      </c>
      <c r="B69" s="620"/>
      <c r="C69" s="620"/>
      <c r="D69" s="87"/>
      <c r="E69" s="87"/>
      <c r="F69" s="89"/>
      <c r="G69" s="89"/>
    </row>
    <row r="70" spans="1:7" ht="15" customHeight="1">
      <c r="A70" s="100" t="s">
        <v>9</v>
      </c>
      <c r="B70" s="613" t="s">
        <v>273</v>
      </c>
      <c r="C70" s="613"/>
      <c r="D70" s="84"/>
      <c r="E70" s="84"/>
      <c r="F70" s="84"/>
      <c r="G70" s="84"/>
    </row>
    <row r="71" spans="1:7" ht="15" customHeight="1">
      <c r="A71" s="100" t="s">
        <v>45</v>
      </c>
      <c r="B71" s="613" t="s">
        <v>90</v>
      </c>
      <c r="C71" s="613"/>
      <c r="D71" s="84" t="s">
        <v>91</v>
      </c>
      <c r="E71" s="84">
        <v>5</v>
      </c>
      <c r="F71" s="84">
        <v>635.1</v>
      </c>
      <c r="G71" s="85">
        <f>E71*F71</f>
        <v>3175.5</v>
      </c>
    </row>
    <row r="72" spans="1:7" ht="15" customHeight="1">
      <c r="A72" s="100" t="s">
        <v>14</v>
      </c>
      <c r="B72" s="613" t="s">
        <v>92</v>
      </c>
      <c r="C72" s="613"/>
      <c r="D72" s="84" t="s">
        <v>91</v>
      </c>
      <c r="E72" s="84">
        <v>2</v>
      </c>
      <c r="F72" s="84">
        <v>635.1</v>
      </c>
      <c r="G72" s="85">
        <f>E72*F72</f>
        <v>1270.2</v>
      </c>
    </row>
    <row r="73" spans="1:7" ht="15" customHeight="1">
      <c r="A73" s="100" t="s">
        <v>49</v>
      </c>
      <c r="B73" s="613" t="s">
        <v>93</v>
      </c>
      <c r="C73" s="613"/>
      <c r="D73" s="84" t="s">
        <v>91</v>
      </c>
      <c r="E73" s="84"/>
      <c r="F73" s="84"/>
      <c r="G73" s="85">
        <f>E73*F73</f>
        <v>0</v>
      </c>
    </row>
    <row r="74" spans="1:7" ht="15" customHeight="1">
      <c r="A74" s="100" t="s">
        <v>19</v>
      </c>
      <c r="B74" s="613" t="s">
        <v>94</v>
      </c>
      <c r="C74" s="613"/>
      <c r="D74" s="84"/>
      <c r="E74" s="84"/>
      <c r="F74" s="84"/>
      <c r="G74" s="84"/>
    </row>
    <row r="75" spans="1:7" ht="15" customHeight="1">
      <c r="A75" s="100"/>
      <c r="B75" s="619" t="s">
        <v>95</v>
      </c>
      <c r="C75" s="619"/>
      <c r="D75" s="101" t="s">
        <v>96</v>
      </c>
      <c r="E75" s="101">
        <v>6</v>
      </c>
      <c r="F75" s="101"/>
      <c r="G75" s="101"/>
    </row>
    <row r="76" spans="1:7" ht="15" customHeight="1">
      <c r="A76" s="100"/>
      <c r="B76" s="619" t="s">
        <v>97</v>
      </c>
      <c r="C76" s="619"/>
      <c r="D76" s="101" t="s">
        <v>91</v>
      </c>
      <c r="E76" s="101">
        <v>8</v>
      </c>
      <c r="F76" s="101"/>
      <c r="G76" s="101"/>
    </row>
    <row r="77" spans="1:7" ht="15" customHeight="1">
      <c r="A77" s="100"/>
      <c r="B77" s="619" t="s">
        <v>98</v>
      </c>
      <c r="C77" s="619"/>
      <c r="D77" s="101" t="s">
        <v>85</v>
      </c>
      <c r="E77" s="101"/>
      <c r="F77" s="101">
        <v>16.04</v>
      </c>
      <c r="G77" s="42">
        <f>E75*E76*F77</f>
        <v>769.92</v>
      </c>
    </row>
    <row r="78" spans="1:7" ht="15" customHeight="1">
      <c r="A78" s="100" t="s">
        <v>54</v>
      </c>
      <c r="B78" s="613" t="s">
        <v>99</v>
      </c>
      <c r="C78" s="613"/>
      <c r="D78" s="101"/>
      <c r="E78" s="101"/>
      <c r="F78" s="101"/>
      <c r="G78" s="101"/>
    </row>
    <row r="79" spans="1:7" ht="15" customHeight="1">
      <c r="A79" s="100"/>
      <c r="B79" s="619" t="s">
        <v>97</v>
      </c>
      <c r="C79" s="619"/>
      <c r="D79" s="101" t="s">
        <v>91</v>
      </c>
      <c r="E79" s="101">
        <v>8</v>
      </c>
      <c r="F79" s="101"/>
      <c r="G79" s="101"/>
    </row>
    <row r="80" spans="1:7" ht="15" customHeight="1">
      <c r="A80" s="100"/>
      <c r="B80" s="619" t="s">
        <v>100</v>
      </c>
      <c r="C80" s="619"/>
      <c r="D80" s="101" t="s">
        <v>101</v>
      </c>
      <c r="E80" s="43">
        <v>118</v>
      </c>
      <c r="F80" s="41">
        <v>1.68</v>
      </c>
      <c r="G80" s="42">
        <f>E79*E80*F80</f>
        <v>1585.9199999999998</v>
      </c>
    </row>
    <row r="81" spans="1:7" ht="15" customHeight="1">
      <c r="A81" s="100"/>
      <c r="B81" s="619" t="s">
        <v>102</v>
      </c>
      <c r="C81" s="619"/>
      <c r="D81" s="101" t="s">
        <v>91</v>
      </c>
      <c r="E81" s="41"/>
      <c r="F81" s="44">
        <f>2250.05/2</f>
        <v>1125.025</v>
      </c>
      <c r="G81" s="42">
        <f>E79*F81</f>
        <v>9000.2</v>
      </c>
    </row>
    <row r="82" spans="1:7" ht="14.25" customHeight="1">
      <c r="A82" s="620"/>
      <c r="B82" s="620"/>
      <c r="C82" s="620"/>
      <c r="D82" s="102"/>
      <c r="E82" s="102"/>
      <c r="F82" s="102"/>
      <c r="G82" s="102"/>
    </row>
    <row r="83" spans="1:7" ht="14.25">
      <c r="A83" s="620" t="s">
        <v>103</v>
      </c>
      <c r="B83" s="620"/>
      <c r="C83" s="620"/>
      <c r="D83" s="102"/>
      <c r="E83" s="102"/>
      <c r="F83" s="102"/>
      <c r="G83" s="102"/>
    </row>
    <row r="84" spans="1:7" ht="15" customHeight="1">
      <c r="A84" s="100"/>
      <c r="B84" s="619" t="s">
        <v>97</v>
      </c>
      <c r="C84" s="619"/>
      <c r="D84" s="101" t="s">
        <v>91</v>
      </c>
      <c r="E84" s="101">
        <v>8</v>
      </c>
      <c r="F84" s="101"/>
      <c r="G84" s="101"/>
    </row>
    <row r="85" spans="1:7" ht="15" customHeight="1">
      <c r="A85" s="100"/>
      <c r="B85" s="619" t="s">
        <v>104</v>
      </c>
      <c r="C85" s="619"/>
      <c r="D85" s="101" t="s">
        <v>101</v>
      </c>
      <c r="E85" s="101">
        <v>1.35</v>
      </c>
      <c r="F85" s="101">
        <v>1.68</v>
      </c>
      <c r="G85" s="103">
        <f>E84*E85*F85</f>
        <v>18.144000000000002</v>
      </c>
    </row>
    <row r="86" spans="1:7" ht="14.25" customHeight="1">
      <c r="A86" s="100"/>
      <c r="B86" s="619" t="s">
        <v>105</v>
      </c>
      <c r="C86" s="619"/>
      <c r="D86" s="101" t="s">
        <v>85</v>
      </c>
      <c r="E86" s="101"/>
      <c r="F86" s="101">
        <v>11.8</v>
      </c>
      <c r="G86" s="103">
        <f>E84*F86</f>
        <v>94.4</v>
      </c>
    </row>
    <row r="87" spans="1:7" ht="15" customHeight="1">
      <c r="A87" s="620"/>
      <c r="B87" s="620"/>
      <c r="C87" s="620"/>
      <c r="D87" s="102"/>
      <c r="E87" s="102"/>
      <c r="F87" s="102"/>
      <c r="G87" s="102"/>
    </row>
    <row r="88" spans="1:7" ht="14.25">
      <c r="A88" s="620" t="s">
        <v>106</v>
      </c>
      <c r="B88" s="620"/>
      <c r="C88" s="620"/>
      <c r="D88" s="102"/>
      <c r="E88" s="102"/>
      <c r="F88" s="102"/>
      <c r="G88" s="102"/>
    </row>
    <row r="89" spans="1:7" ht="15" customHeight="1">
      <c r="A89" s="100"/>
      <c r="B89" s="619" t="s">
        <v>97</v>
      </c>
      <c r="C89" s="619"/>
      <c r="D89" s="101" t="s">
        <v>91</v>
      </c>
      <c r="E89" s="101">
        <v>7</v>
      </c>
      <c r="F89" s="101"/>
      <c r="G89" s="101"/>
    </row>
    <row r="90" spans="1:7" ht="15" customHeight="1">
      <c r="A90" s="100"/>
      <c r="B90" s="619" t="s">
        <v>104</v>
      </c>
      <c r="C90" s="619"/>
      <c r="D90" s="101" t="s">
        <v>101</v>
      </c>
      <c r="E90" s="101">
        <v>0.5</v>
      </c>
      <c r="F90" s="101">
        <v>1.68</v>
      </c>
      <c r="G90" s="103">
        <f>E89*E90*F90</f>
        <v>5.88</v>
      </c>
    </row>
    <row r="91" spans="1:7" ht="14.25" customHeight="1">
      <c r="A91" s="100"/>
      <c r="B91" s="619" t="s">
        <v>107</v>
      </c>
      <c r="C91" s="619"/>
      <c r="D91" s="101" t="s">
        <v>85</v>
      </c>
      <c r="E91" s="101"/>
      <c r="F91" s="101">
        <v>0.6</v>
      </c>
      <c r="G91" s="103">
        <f>E89*F91</f>
        <v>4.2</v>
      </c>
    </row>
    <row r="93" spans="1:7" ht="15.75">
      <c r="A93" s="620" t="s">
        <v>208</v>
      </c>
      <c r="B93" s="620"/>
      <c r="C93" s="620"/>
      <c r="D93" s="87"/>
      <c r="E93" s="87"/>
      <c r="F93" s="89"/>
      <c r="G93" s="89"/>
    </row>
    <row r="94" spans="1:7" ht="18.75" customHeight="1">
      <c r="A94" s="93"/>
      <c r="B94" s="621"/>
      <c r="C94" s="621"/>
      <c r="D94" s="84"/>
      <c r="E94" s="84"/>
      <c r="F94" s="84"/>
      <c r="G94" s="84"/>
    </row>
    <row r="95" spans="1:7" ht="14.25">
      <c r="A95" s="93"/>
      <c r="B95" s="621"/>
      <c r="C95" s="621"/>
      <c r="D95" s="84"/>
      <c r="E95" s="84"/>
      <c r="F95" s="84"/>
      <c r="G95" s="84"/>
    </row>
    <row r="96" spans="1:7" ht="14.25">
      <c r="A96" s="93"/>
      <c r="B96" s="587"/>
      <c r="C96" s="588"/>
      <c r="D96" s="84"/>
      <c r="E96" s="94"/>
      <c r="F96" s="84"/>
      <c r="G96" s="85">
        <f>SUM(G94:G95)</f>
        <v>0</v>
      </c>
    </row>
    <row r="97" spans="1:7" ht="14.25" customHeight="1">
      <c r="A97" s="84"/>
      <c r="B97" s="587" t="s">
        <v>108</v>
      </c>
      <c r="C97" s="588"/>
      <c r="D97" s="84"/>
      <c r="E97" s="94"/>
      <c r="F97" s="84"/>
      <c r="G97" s="85">
        <f>SUM(G71:G96)</f>
        <v>15924.364000000001</v>
      </c>
    </row>
    <row r="98" spans="1:7" ht="12.75">
      <c r="A98" s="104"/>
      <c r="B98" s="104"/>
      <c r="C98" s="104"/>
      <c r="D98" s="104"/>
      <c r="E98" s="104"/>
      <c r="F98" s="104"/>
      <c r="G98" s="104"/>
    </row>
    <row r="99" ht="15" thickBot="1">
      <c r="A99" s="76" t="s">
        <v>110</v>
      </c>
    </row>
    <row r="100" spans="1:7" ht="26.25" customHeight="1">
      <c r="A100" s="96" t="s">
        <v>37</v>
      </c>
      <c r="B100" s="105" t="s">
        <v>38</v>
      </c>
      <c r="C100" s="106"/>
      <c r="D100" s="77" t="s">
        <v>39</v>
      </c>
      <c r="E100" s="78" t="s">
        <v>207</v>
      </c>
      <c r="F100" s="78" t="s">
        <v>58</v>
      </c>
      <c r="G100" s="78" t="s">
        <v>59</v>
      </c>
    </row>
    <row r="101" spans="1:7" ht="15" customHeight="1">
      <c r="A101" s="84" t="s">
        <v>9</v>
      </c>
      <c r="B101" s="613" t="s">
        <v>111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45</v>
      </c>
      <c r="B102" s="613" t="s">
        <v>112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14</v>
      </c>
      <c r="B103" s="613" t="s">
        <v>113</v>
      </c>
      <c r="C103" s="613"/>
      <c r="D103" s="101" t="s">
        <v>91</v>
      </c>
      <c r="E103" s="101"/>
      <c r="F103" s="101"/>
      <c r="G103" s="84">
        <f>E103*F103</f>
        <v>0</v>
      </c>
    </row>
    <row r="104" spans="1:7" ht="15" customHeight="1">
      <c r="A104" s="84" t="s">
        <v>49</v>
      </c>
      <c r="B104" s="613" t="s">
        <v>94</v>
      </c>
      <c r="C104" s="613"/>
      <c r="D104" s="101"/>
      <c r="E104" s="101"/>
      <c r="F104" s="101"/>
      <c r="G104" s="101"/>
    </row>
    <row r="105" spans="1:7" ht="15" customHeight="1">
      <c r="A105" s="84"/>
      <c r="B105" s="619" t="s">
        <v>95</v>
      </c>
      <c r="C105" s="619"/>
      <c r="D105" s="101" t="s">
        <v>96</v>
      </c>
      <c r="E105" s="101">
        <v>1</v>
      </c>
      <c r="F105" s="101"/>
      <c r="G105" s="101"/>
    </row>
    <row r="106" spans="1:7" ht="15" customHeight="1">
      <c r="A106" s="84"/>
      <c r="B106" s="619" t="s">
        <v>547</v>
      </c>
      <c r="C106" s="619"/>
      <c r="D106" s="101" t="s">
        <v>91</v>
      </c>
      <c r="E106" s="107">
        <f>7/3</f>
        <v>2.3333333333333335</v>
      </c>
      <c r="F106" s="101"/>
      <c r="G106" s="101"/>
    </row>
    <row r="107" spans="1:7" ht="15" customHeight="1">
      <c r="A107" s="84"/>
      <c r="B107" s="619" t="s">
        <v>114</v>
      </c>
      <c r="C107" s="619"/>
      <c r="D107" s="101" t="s">
        <v>85</v>
      </c>
      <c r="E107" s="101"/>
      <c r="F107" s="101">
        <v>16.04</v>
      </c>
      <c r="G107" s="103">
        <f>E105*E106*F107</f>
        <v>37.42666666666667</v>
      </c>
    </row>
    <row r="108" spans="1:7" ht="15" customHeight="1">
      <c r="A108" s="84" t="s">
        <v>19</v>
      </c>
      <c r="B108" s="630" t="s">
        <v>115</v>
      </c>
      <c r="C108" s="630"/>
      <c r="D108" s="101"/>
      <c r="E108" s="101"/>
      <c r="F108" s="101"/>
      <c r="G108" s="101"/>
    </row>
    <row r="109" spans="1:7" ht="15" customHeight="1">
      <c r="A109" s="84"/>
      <c r="B109" s="619" t="s">
        <v>116</v>
      </c>
      <c r="C109" s="619"/>
      <c r="D109" s="101" t="s">
        <v>117</v>
      </c>
      <c r="E109" s="107">
        <f>5/3</f>
        <v>1.6666666666666667</v>
      </c>
      <c r="F109" s="101"/>
      <c r="G109" s="101"/>
    </row>
    <row r="110" spans="1:7" ht="15" customHeight="1">
      <c r="A110" s="84"/>
      <c r="B110" s="619" t="s">
        <v>118</v>
      </c>
      <c r="C110" s="619"/>
      <c r="D110" s="101" t="s">
        <v>85</v>
      </c>
      <c r="E110" s="101">
        <v>10</v>
      </c>
      <c r="F110" s="107">
        <f>(14249.86+97346.65)/73/12/193*0.08</f>
        <v>0.052805503111174205</v>
      </c>
      <c r="G110" s="103">
        <f>E109*E110*F110</f>
        <v>0.8800917185195701</v>
      </c>
    </row>
    <row r="111" spans="1:7" ht="15" customHeight="1">
      <c r="A111" s="84" t="s">
        <v>54</v>
      </c>
      <c r="B111" s="630" t="s">
        <v>119</v>
      </c>
      <c r="C111" s="630"/>
      <c r="D111" s="101"/>
      <c r="E111" s="101"/>
      <c r="F111" s="101"/>
      <c r="G111" s="101"/>
    </row>
    <row r="112" spans="1:7" ht="15" customHeight="1">
      <c r="A112" s="84"/>
      <c r="B112" s="619" t="s">
        <v>120</v>
      </c>
      <c r="C112" s="619"/>
      <c r="D112" s="101" t="s">
        <v>117</v>
      </c>
      <c r="E112" s="101"/>
      <c r="F112" s="101"/>
      <c r="G112" s="101"/>
    </row>
    <row r="113" spans="1:7" ht="15" customHeight="1">
      <c r="A113" s="84"/>
      <c r="B113" s="619" t="s">
        <v>121</v>
      </c>
      <c r="C113" s="619"/>
      <c r="D113" s="101" t="s">
        <v>85</v>
      </c>
      <c r="E113" s="101"/>
      <c r="F113" s="101"/>
      <c r="G113" s="101">
        <f>E112*E113*F113</f>
        <v>0</v>
      </c>
    </row>
    <row r="114" spans="1:7" ht="15" customHeight="1">
      <c r="A114" s="84" t="s">
        <v>22</v>
      </c>
      <c r="B114" s="630" t="s">
        <v>99</v>
      </c>
      <c r="C114" s="630"/>
      <c r="D114" s="101"/>
      <c r="E114" s="101"/>
      <c r="F114" s="101"/>
      <c r="G114" s="101"/>
    </row>
    <row r="115" spans="1:7" ht="15" customHeight="1">
      <c r="A115" s="84"/>
      <c r="B115" s="619" t="s">
        <v>547</v>
      </c>
      <c r="C115" s="619"/>
      <c r="D115" s="101" t="s">
        <v>91</v>
      </c>
      <c r="E115" s="107">
        <f>7/3</f>
        <v>2.3333333333333335</v>
      </c>
      <c r="F115" s="101"/>
      <c r="G115" s="101"/>
    </row>
    <row r="116" spans="1:7" ht="15" customHeight="1">
      <c r="A116" s="84"/>
      <c r="B116" s="619" t="s">
        <v>102</v>
      </c>
      <c r="C116" s="619"/>
      <c r="D116" s="101" t="s">
        <v>85</v>
      </c>
      <c r="E116" s="101"/>
      <c r="F116" s="101">
        <v>3.71</v>
      </c>
      <c r="G116" s="103">
        <f>E115*F116</f>
        <v>8.656666666666666</v>
      </c>
    </row>
    <row r="117" spans="1:7" ht="14.25" customHeight="1">
      <c r="A117" s="84" t="s">
        <v>72</v>
      </c>
      <c r="B117" s="613" t="s">
        <v>122</v>
      </c>
      <c r="C117" s="613"/>
      <c r="D117" s="101" t="s">
        <v>91</v>
      </c>
      <c r="E117" s="101"/>
      <c r="F117" s="101"/>
      <c r="G117" s="101">
        <f>E117*F117</f>
        <v>0</v>
      </c>
    </row>
    <row r="118" spans="1:7" ht="14.25" customHeight="1">
      <c r="A118" s="84"/>
      <c r="B118" s="587" t="s">
        <v>123</v>
      </c>
      <c r="C118" s="588"/>
      <c r="D118" s="84"/>
      <c r="E118" s="94"/>
      <c r="F118" s="84"/>
      <c r="G118" s="85">
        <f>SUM(G101:G117)</f>
        <v>46.96342505185291</v>
      </c>
    </row>
    <row r="119" ht="14.25">
      <c r="A119" s="67"/>
    </row>
    <row r="120" ht="14.25">
      <c r="A120" s="76" t="s">
        <v>124</v>
      </c>
    </row>
    <row r="121" ht="15" thickBot="1">
      <c r="A121" s="76"/>
    </row>
    <row r="122" spans="1:9" ht="29.25" customHeight="1">
      <c r="A122" s="96" t="s">
        <v>37</v>
      </c>
      <c r="B122" s="105" t="s">
        <v>38</v>
      </c>
      <c r="C122" s="106"/>
      <c r="D122" s="77" t="s">
        <v>39</v>
      </c>
      <c r="E122" s="108" t="s">
        <v>207</v>
      </c>
      <c r="F122" s="78" t="s">
        <v>58</v>
      </c>
      <c r="G122" s="78" t="s">
        <v>59</v>
      </c>
      <c r="H122" s="109"/>
      <c r="I122" s="110"/>
    </row>
    <row r="123" spans="1:9" ht="15" customHeight="1">
      <c r="A123" s="84" t="s">
        <v>9</v>
      </c>
      <c r="B123" s="613" t="s">
        <v>125</v>
      </c>
      <c r="C123" s="613"/>
      <c r="D123" s="101" t="s">
        <v>96</v>
      </c>
      <c r="E123" s="101">
        <v>1</v>
      </c>
      <c r="F123" s="101"/>
      <c r="G123" s="101"/>
      <c r="H123" s="89"/>
      <c r="I123" s="110"/>
    </row>
    <row r="124" spans="1:9" ht="15" customHeight="1">
      <c r="A124" s="84" t="s">
        <v>45</v>
      </c>
      <c r="B124" s="613" t="s">
        <v>126</v>
      </c>
      <c r="C124" s="613"/>
      <c r="D124" s="101" t="s">
        <v>127</v>
      </c>
      <c r="E124" s="101">
        <v>20</v>
      </c>
      <c r="F124" s="101"/>
      <c r="G124" s="101"/>
      <c r="H124" s="89"/>
      <c r="I124" s="110"/>
    </row>
    <row r="125" spans="1:9" ht="26.25" customHeight="1">
      <c r="A125" s="84" t="s">
        <v>14</v>
      </c>
      <c r="B125" s="613" t="s">
        <v>128</v>
      </c>
      <c r="C125" s="613"/>
      <c r="D125" s="101" t="s">
        <v>129</v>
      </c>
      <c r="E125" s="101">
        <v>4</v>
      </c>
      <c r="F125" s="44">
        <f>1880.95/722.42</f>
        <v>2.6036793001301186</v>
      </c>
      <c r="G125" s="103">
        <f>E123*E125*F125</f>
        <v>10.414717200520474</v>
      </c>
      <c r="H125" s="89"/>
      <c r="I125" s="110"/>
    </row>
    <row r="126" spans="1:9" ht="14.25" customHeight="1">
      <c r="A126" s="84" t="s">
        <v>49</v>
      </c>
      <c r="B126" s="613" t="s">
        <v>130</v>
      </c>
      <c r="C126" s="613"/>
      <c r="D126" s="101" t="s">
        <v>131</v>
      </c>
      <c r="E126" s="101"/>
      <c r="F126" s="101"/>
      <c r="G126" s="101"/>
      <c r="H126" s="89"/>
      <c r="I126" s="110"/>
    </row>
    <row r="127" spans="1:9" ht="15" customHeight="1">
      <c r="A127" s="84"/>
      <c r="B127" s="613" t="s">
        <v>132</v>
      </c>
      <c r="C127" s="613"/>
      <c r="D127" s="101" t="s">
        <v>131</v>
      </c>
      <c r="E127" s="101"/>
      <c r="F127" s="101"/>
      <c r="G127" s="101">
        <f>E127*F127</f>
        <v>0</v>
      </c>
      <c r="H127" s="89"/>
      <c r="I127" s="110"/>
    </row>
    <row r="128" spans="1:9" ht="15">
      <c r="A128" s="84"/>
      <c r="B128" s="613" t="s">
        <v>133</v>
      </c>
      <c r="C128" s="613"/>
      <c r="D128" s="101" t="s">
        <v>131</v>
      </c>
      <c r="E128" s="111">
        <v>2</v>
      </c>
      <c r="F128" s="111">
        <v>15.83</v>
      </c>
      <c r="G128" s="103">
        <f>E128*F128</f>
        <v>31.66</v>
      </c>
      <c r="H128" s="89"/>
      <c r="I128" s="110"/>
    </row>
    <row r="129" spans="1:9" ht="15">
      <c r="A129" s="84"/>
      <c r="B129" s="613" t="s">
        <v>134</v>
      </c>
      <c r="C129" s="613"/>
      <c r="D129" s="101" t="s">
        <v>131</v>
      </c>
      <c r="E129" s="101"/>
      <c r="F129" s="101"/>
      <c r="G129" s="101">
        <f>E129*F129</f>
        <v>0</v>
      </c>
      <c r="H129" s="89"/>
      <c r="I129" s="110"/>
    </row>
    <row r="130" spans="1:9" ht="15">
      <c r="A130" s="84"/>
      <c r="B130" s="587" t="s">
        <v>135</v>
      </c>
      <c r="C130" s="588"/>
      <c r="D130" s="84"/>
      <c r="E130" s="94"/>
      <c r="F130" s="84"/>
      <c r="G130" s="85">
        <f>SUM(G123:G129)</f>
        <v>42.074717200520475</v>
      </c>
      <c r="H130" s="89"/>
      <c r="I130" s="110"/>
    </row>
    <row r="131" spans="1:9" ht="12.75">
      <c r="A131" s="104"/>
      <c r="B131" s="104"/>
      <c r="C131" s="104"/>
      <c r="D131" s="104"/>
      <c r="E131" s="104"/>
      <c r="F131" s="104"/>
      <c r="G131" s="104"/>
      <c r="H131" s="104"/>
      <c r="I131" s="104"/>
    </row>
    <row r="132" ht="15" thickBot="1">
      <c r="A132" s="76" t="s">
        <v>136</v>
      </c>
    </row>
    <row r="133" spans="1:7" ht="28.5" customHeight="1">
      <c r="A133" s="96" t="s">
        <v>37</v>
      </c>
      <c r="B133" s="105" t="s">
        <v>38</v>
      </c>
      <c r="C133" s="106"/>
      <c r="D133" s="78" t="s">
        <v>39</v>
      </c>
      <c r="E133" s="78" t="s">
        <v>207</v>
      </c>
      <c r="F133" s="78" t="s">
        <v>58</v>
      </c>
      <c r="G133" s="78" t="s">
        <v>59</v>
      </c>
    </row>
    <row r="134" spans="1:7" ht="14.25" customHeight="1">
      <c r="A134" s="84" t="s">
        <v>9</v>
      </c>
      <c r="B134" s="613" t="s">
        <v>137</v>
      </c>
      <c r="C134" s="613"/>
      <c r="D134" s="84" t="s">
        <v>138</v>
      </c>
      <c r="E134" s="101"/>
      <c r="F134" s="101"/>
      <c r="G134" s="101"/>
    </row>
    <row r="135" spans="1:7" ht="14.25" customHeight="1">
      <c r="A135" s="84" t="s">
        <v>45</v>
      </c>
      <c r="B135" s="613" t="s">
        <v>139</v>
      </c>
      <c r="C135" s="613"/>
      <c r="D135" s="622"/>
      <c r="E135" s="622"/>
      <c r="F135" s="622"/>
      <c r="G135" s="622"/>
    </row>
    <row r="136" spans="1:7" ht="14.25" customHeight="1">
      <c r="A136" s="84" t="s">
        <v>14</v>
      </c>
      <c r="B136" s="613" t="s">
        <v>140</v>
      </c>
      <c r="C136" s="613"/>
      <c r="D136" s="622"/>
      <c r="E136" s="622"/>
      <c r="F136" s="622"/>
      <c r="G136" s="622"/>
    </row>
    <row r="137" spans="1:7" ht="15" customHeight="1">
      <c r="A137" s="84" t="s">
        <v>49</v>
      </c>
      <c r="B137" s="613" t="s">
        <v>141</v>
      </c>
      <c r="C137" s="613"/>
      <c r="D137" s="84" t="s">
        <v>138</v>
      </c>
      <c r="E137" s="101"/>
      <c r="F137" s="101"/>
      <c r="G137" s="101">
        <f>E137*F137*E134</f>
        <v>0</v>
      </c>
    </row>
    <row r="138" spans="1:7" ht="15" customHeight="1">
      <c r="A138" s="84" t="s">
        <v>19</v>
      </c>
      <c r="B138" s="613" t="s">
        <v>142</v>
      </c>
      <c r="C138" s="613"/>
      <c r="D138" s="84" t="s">
        <v>138</v>
      </c>
      <c r="E138" s="101"/>
      <c r="F138" s="101"/>
      <c r="G138" s="101">
        <f>E138*F138*E134</f>
        <v>0</v>
      </c>
    </row>
    <row r="139" spans="1:7" ht="15" customHeight="1">
      <c r="A139" s="84" t="s">
        <v>54</v>
      </c>
      <c r="B139" s="613" t="s">
        <v>143</v>
      </c>
      <c r="C139" s="613"/>
      <c r="D139" s="84" t="s">
        <v>85</v>
      </c>
      <c r="E139" s="101"/>
      <c r="F139" s="101"/>
      <c r="G139" s="101">
        <f>E134*F139</f>
        <v>0</v>
      </c>
    </row>
    <row r="140" spans="1:7" ht="15" customHeight="1">
      <c r="A140" s="84" t="s">
        <v>22</v>
      </c>
      <c r="B140" s="613" t="s">
        <v>144</v>
      </c>
      <c r="C140" s="613"/>
      <c r="D140" s="84" t="s">
        <v>85</v>
      </c>
      <c r="E140" s="101"/>
      <c r="F140" s="101"/>
      <c r="G140" s="101">
        <f>E134*F140</f>
        <v>0</v>
      </c>
    </row>
    <row r="141" spans="1:7" ht="15" customHeight="1">
      <c r="A141" s="84" t="s">
        <v>72</v>
      </c>
      <c r="B141" s="613" t="s">
        <v>145</v>
      </c>
      <c r="C141" s="613"/>
      <c r="D141" s="84" t="s">
        <v>85</v>
      </c>
      <c r="E141" s="101"/>
      <c r="F141" s="101"/>
      <c r="G141" s="101">
        <f>E134*F141</f>
        <v>0</v>
      </c>
    </row>
    <row r="142" spans="1:7" ht="15" customHeight="1">
      <c r="A142" s="84" t="s">
        <v>26</v>
      </c>
      <c r="B142" s="613" t="s">
        <v>146</v>
      </c>
      <c r="C142" s="613"/>
      <c r="D142" s="84" t="s">
        <v>85</v>
      </c>
      <c r="E142" s="101"/>
      <c r="F142" s="101"/>
      <c r="G142" s="101">
        <f>F142</f>
        <v>0</v>
      </c>
    </row>
    <row r="143" spans="1:7" ht="14.25">
      <c r="A143" s="84"/>
      <c r="B143" s="587" t="s">
        <v>147</v>
      </c>
      <c r="C143" s="588"/>
      <c r="D143" s="84"/>
      <c r="E143" s="94"/>
      <c r="F143" s="84"/>
      <c r="G143" s="85">
        <f>SUM(G137:G142)</f>
        <v>0</v>
      </c>
    </row>
    <row r="144" ht="14.25">
      <c r="A144" s="67"/>
    </row>
    <row r="145" ht="14.25">
      <c r="A145" s="67"/>
    </row>
    <row r="146" ht="15" thickBot="1">
      <c r="A146" s="76" t="s">
        <v>148</v>
      </c>
    </row>
    <row r="147" spans="1:7" ht="28.5" customHeight="1">
      <c r="A147" s="96" t="s">
        <v>37</v>
      </c>
      <c r="B147" s="598" t="s">
        <v>38</v>
      </c>
      <c r="C147" s="599"/>
      <c r="D147" s="77" t="s">
        <v>39</v>
      </c>
      <c r="E147" s="78" t="s">
        <v>207</v>
      </c>
      <c r="F147" s="78" t="s">
        <v>58</v>
      </c>
      <c r="G147" s="78" t="s">
        <v>59</v>
      </c>
    </row>
    <row r="148" spans="1:7" ht="14.25" customHeight="1">
      <c r="A148" s="84" t="s">
        <v>9</v>
      </c>
      <c r="B148" s="613" t="s">
        <v>149</v>
      </c>
      <c r="C148" s="613"/>
      <c r="D148" s="84" t="s">
        <v>85</v>
      </c>
      <c r="E148" s="101"/>
      <c r="F148" s="101"/>
      <c r="G148" s="101">
        <v>100</v>
      </c>
    </row>
    <row r="149" spans="1:7" ht="14.25" customHeight="1">
      <c r="A149" s="84" t="s">
        <v>45</v>
      </c>
      <c r="B149" s="613" t="s">
        <v>150</v>
      </c>
      <c r="C149" s="613"/>
      <c r="D149" s="84" t="s">
        <v>85</v>
      </c>
      <c r="E149" s="101"/>
      <c r="F149" s="101"/>
      <c r="G149" s="101">
        <v>500</v>
      </c>
    </row>
    <row r="150" spans="1:7" ht="15" customHeight="1">
      <c r="A150" s="84" t="s">
        <v>14</v>
      </c>
      <c r="B150" s="613" t="s">
        <v>548</v>
      </c>
      <c r="C150" s="613"/>
      <c r="D150" s="84" t="s">
        <v>96</v>
      </c>
      <c r="E150" s="103">
        <f>12/12</f>
        <v>1</v>
      </c>
      <c r="F150" s="101">
        <v>271.78</v>
      </c>
      <c r="G150" s="103">
        <f>E150*F150</f>
        <v>271.78</v>
      </c>
    </row>
    <row r="151" spans="1:7" ht="14.25">
      <c r="A151" s="84" t="s">
        <v>49</v>
      </c>
      <c r="B151" s="613" t="s">
        <v>152</v>
      </c>
      <c r="C151" s="613"/>
      <c r="D151" s="84" t="s">
        <v>96</v>
      </c>
      <c r="E151" s="101"/>
      <c r="F151" s="101"/>
      <c r="G151" s="101">
        <f>E151*F151</f>
        <v>0</v>
      </c>
    </row>
    <row r="152" spans="1:7" ht="15" customHeight="1">
      <c r="A152" s="84" t="s">
        <v>19</v>
      </c>
      <c r="B152" s="613" t="s">
        <v>549</v>
      </c>
      <c r="C152" s="613"/>
      <c r="D152" s="84"/>
      <c r="E152" s="101"/>
      <c r="F152" s="101"/>
      <c r="G152" s="101">
        <v>500</v>
      </c>
    </row>
    <row r="153" spans="1:7" ht="15" customHeight="1">
      <c r="A153" s="84" t="s">
        <v>54</v>
      </c>
      <c r="B153" s="613" t="s">
        <v>154</v>
      </c>
      <c r="C153" s="613"/>
      <c r="D153" s="84"/>
      <c r="E153" s="101"/>
      <c r="F153" s="101"/>
      <c r="G153" s="101"/>
    </row>
    <row r="154" spans="1:7" ht="15" customHeight="1">
      <c r="A154" s="84" t="s">
        <v>22</v>
      </c>
      <c r="B154" s="613" t="s">
        <v>155</v>
      </c>
      <c r="C154" s="613"/>
      <c r="D154" s="84"/>
      <c r="E154" s="101"/>
      <c r="F154" s="101"/>
      <c r="G154" s="101"/>
    </row>
    <row r="155" spans="1:7" ht="15" customHeight="1">
      <c r="A155" s="84" t="s">
        <v>72</v>
      </c>
      <c r="B155" s="613" t="s">
        <v>156</v>
      </c>
      <c r="C155" s="613"/>
      <c r="D155" s="84"/>
      <c r="E155" s="101"/>
      <c r="F155" s="101"/>
      <c r="G155" s="101">
        <f>E155*F155</f>
        <v>0</v>
      </c>
    </row>
    <row r="156" spans="1:7" ht="16.5" customHeight="1">
      <c r="A156" s="84" t="s">
        <v>26</v>
      </c>
      <c r="B156" s="613" t="s">
        <v>306</v>
      </c>
      <c r="C156" s="613"/>
      <c r="D156" s="84" t="s">
        <v>85</v>
      </c>
      <c r="E156" s="101"/>
      <c r="F156" s="101"/>
      <c r="G156" s="101"/>
    </row>
    <row r="157" spans="1:7" ht="15" customHeight="1">
      <c r="A157" s="84"/>
      <c r="B157" s="587" t="s">
        <v>158</v>
      </c>
      <c r="C157" s="588"/>
      <c r="D157" s="84"/>
      <c r="E157" s="94"/>
      <c r="F157" s="84"/>
      <c r="G157" s="85">
        <f>SUM(G148:G156)</f>
        <v>1371.78</v>
      </c>
    </row>
    <row r="158" ht="14.25">
      <c r="A158" s="67"/>
    </row>
    <row r="159" ht="14.25">
      <c r="A159" s="76" t="s">
        <v>159</v>
      </c>
    </row>
    <row r="160" ht="15" thickBot="1">
      <c r="A160" s="76"/>
    </row>
    <row r="161" spans="1:7" ht="28.5" customHeight="1">
      <c r="A161" s="623" t="s">
        <v>37</v>
      </c>
      <c r="B161" s="598" t="s">
        <v>38</v>
      </c>
      <c r="C161" s="599"/>
      <c r="D161" s="77" t="s">
        <v>39</v>
      </c>
      <c r="E161" s="78" t="s">
        <v>207</v>
      </c>
      <c r="F161" s="78" t="s">
        <v>58</v>
      </c>
      <c r="G161" s="78" t="s">
        <v>59</v>
      </c>
    </row>
    <row r="162" spans="1:7" ht="15" customHeight="1">
      <c r="A162" s="624"/>
      <c r="B162" s="600"/>
      <c r="C162" s="612"/>
      <c r="D162" s="112"/>
      <c r="E162" s="113"/>
      <c r="F162" s="113"/>
      <c r="G162" s="113"/>
    </row>
    <row r="163" spans="1:7" ht="15" customHeight="1">
      <c r="A163" s="84" t="s">
        <v>9</v>
      </c>
      <c r="B163" s="622" t="s">
        <v>160</v>
      </c>
      <c r="C163" s="622"/>
      <c r="D163" s="84" t="s">
        <v>85</v>
      </c>
      <c r="E163" s="84"/>
      <c r="F163" s="84"/>
      <c r="G163" s="84">
        <f>E163*F163</f>
        <v>0</v>
      </c>
    </row>
    <row r="164" spans="1:7" ht="15" customHeight="1">
      <c r="A164" s="84"/>
      <c r="B164" s="618"/>
      <c r="C164" s="618"/>
      <c r="D164" s="84"/>
      <c r="E164" s="84"/>
      <c r="F164" s="84"/>
      <c r="G164" s="84"/>
    </row>
    <row r="165" spans="1:7" ht="15" customHeight="1">
      <c r="A165" s="84"/>
      <c r="B165" s="587" t="s">
        <v>161</v>
      </c>
      <c r="C165" s="588"/>
      <c r="D165" s="84"/>
      <c r="E165" s="84"/>
      <c r="F165" s="84"/>
      <c r="G165" s="84">
        <f>SUM(G163:G164)</f>
        <v>0</v>
      </c>
    </row>
    <row r="166" ht="15" customHeight="1">
      <c r="A166" s="67"/>
    </row>
    <row r="167" ht="14.25">
      <c r="A167" s="76" t="s">
        <v>162</v>
      </c>
    </row>
    <row r="168" ht="15" thickBot="1">
      <c r="A168" s="76"/>
    </row>
    <row r="169" spans="1:7" ht="28.5" customHeight="1">
      <c r="A169" s="96" t="s">
        <v>37</v>
      </c>
      <c r="B169" s="598" t="s">
        <v>38</v>
      </c>
      <c r="C169" s="599"/>
      <c r="D169" s="77" t="s">
        <v>39</v>
      </c>
      <c r="E169" s="78" t="s">
        <v>207</v>
      </c>
      <c r="F169" s="78" t="s">
        <v>58</v>
      </c>
      <c r="G169" s="78" t="s">
        <v>59</v>
      </c>
    </row>
    <row r="170" spans="1:7" ht="14.25" customHeight="1">
      <c r="A170" s="84" t="s">
        <v>9</v>
      </c>
      <c r="B170" s="613" t="s">
        <v>163</v>
      </c>
      <c r="C170" s="613"/>
      <c r="D170" s="84"/>
      <c r="E170" s="84"/>
      <c r="F170" s="84"/>
      <c r="G170" s="84"/>
    </row>
    <row r="171" spans="1:7" ht="14.25" customHeight="1">
      <c r="A171" s="84"/>
      <c r="B171" s="613" t="s">
        <v>164</v>
      </c>
      <c r="C171" s="613"/>
      <c r="D171" s="84" t="s">
        <v>165</v>
      </c>
      <c r="E171" s="101" t="s">
        <v>290</v>
      </c>
      <c r="F171" s="101">
        <v>77</v>
      </c>
      <c r="G171" s="101">
        <f>5*77</f>
        <v>385</v>
      </c>
    </row>
    <row r="172" spans="1:7" ht="14.25" customHeight="1">
      <c r="A172" s="84"/>
      <c r="B172" s="613" t="s">
        <v>167</v>
      </c>
      <c r="C172" s="613"/>
      <c r="D172" s="84" t="s">
        <v>165</v>
      </c>
      <c r="E172" s="101" t="s">
        <v>290</v>
      </c>
      <c r="F172" s="101">
        <v>77</v>
      </c>
      <c r="G172" s="101">
        <f>5*77</f>
        <v>385</v>
      </c>
    </row>
    <row r="173" spans="1:7" ht="14.25" customHeight="1">
      <c r="A173" s="84"/>
      <c r="B173" s="613" t="s">
        <v>168</v>
      </c>
      <c r="C173" s="613"/>
      <c r="D173" s="84" t="s">
        <v>165</v>
      </c>
      <c r="E173" s="101" t="s">
        <v>550</v>
      </c>
      <c r="F173" s="101">
        <v>49</v>
      </c>
      <c r="G173" s="101">
        <f>75*F173</f>
        <v>3675</v>
      </c>
    </row>
    <row r="174" spans="1:7" ht="29.25" customHeight="1">
      <c r="A174" s="84" t="s">
        <v>45</v>
      </c>
      <c r="B174" s="613" t="s">
        <v>170</v>
      </c>
      <c r="C174" s="613"/>
      <c r="D174" s="84" t="s">
        <v>165</v>
      </c>
      <c r="E174" s="101"/>
      <c r="F174" s="101"/>
      <c r="G174" s="101">
        <f>E174*F174</f>
        <v>0</v>
      </c>
    </row>
    <row r="175" spans="1:7" ht="15" customHeight="1">
      <c r="A175" s="84" t="s">
        <v>14</v>
      </c>
      <c r="B175" s="613" t="s">
        <v>171</v>
      </c>
      <c r="C175" s="613"/>
      <c r="D175" s="84" t="s">
        <v>85</v>
      </c>
      <c r="E175" s="101"/>
      <c r="F175" s="101"/>
      <c r="G175" s="101">
        <f>E175*F175</f>
        <v>0</v>
      </c>
    </row>
    <row r="176" spans="1:9" ht="15" customHeight="1">
      <c r="A176" s="84" t="s">
        <v>49</v>
      </c>
      <c r="B176" s="613" t="s">
        <v>172</v>
      </c>
      <c r="C176" s="613"/>
      <c r="D176" s="84" t="s">
        <v>91</v>
      </c>
      <c r="E176" s="101" t="s">
        <v>232</v>
      </c>
      <c r="F176" s="44">
        <f>23700*1.27/712.5</f>
        <v>42.24421052631579</v>
      </c>
      <c r="G176" s="156">
        <f>10/60*F176</f>
        <v>7.040701754385965</v>
      </c>
      <c r="H176" s="119"/>
      <c r="I176" s="119" t="s">
        <v>173</v>
      </c>
    </row>
    <row r="177" spans="1:7" ht="15" customHeight="1">
      <c r="A177" s="84" t="s">
        <v>19</v>
      </c>
      <c r="B177" s="613" t="s">
        <v>174</v>
      </c>
      <c r="C177" s="613"/>
      <c r="D177" s="84" t="s">
        <v>43</v>
      </c>
      <c r="E177" s="101"/>
      <c r="F177" s="107"/>
      <c r="G177" s="103"/>
    </row>
    <row r="178" spans="1:9" ht="14.25" customHeight="1">
      <c r="A178" s="84" t="s">
        <v>54</v>
      </c>
      <c r="B178" s="613" t="s">
        <v>511</v>
      </c>
      <c r="C178" s="613"/>
      <c r="D178" s="84" t="s">
        <v>43</v>
      </c>
      <c r="E178" s="107">
        <f>3/12</f>
        <v>0.25</v>
      </c>
      <c r="F178" s="322">
        <f>17410*1.27/210</f>
        <v>105.28904761904762</v>
      </c>
      <c r="G178" s="290">
        <f>E178*F178</f>
        <v>26.322261904761906</v>
      </c>
      <c r="H178" s="243"/>
      <c r="I178" s="325" t="s">
        <v>544</v>
      </c>
    </row>
    <row r="179" spans="1:7" ht="14.25" customHeight="1">
      <c r="A179" s="84" t="s">
        <v>22</v>
      </c>
      <c r="B179" s="613" t="s">
        <v>176</v>
      </c>
      <c r="C179" s="613"/>
      <c r="D179" s="84" t="s">
        <v>43</v>
      </c>
      <c r="E179" s="101"/>
      <c r="F179" s="101"/>
      <c r="G179" s="101">
        <f>E179*F179</f>
        <v>0</v>
      </c>
    </row>
    <row r="180" spans="1:7" ht="15" customHeight="1">
      <c r="A180" s="84" t="s">
        <v>72</v>
      </c>
      <c r="B180" s="613" t="s">
        <v>209</v>
      </c>
      <c r="C180" s="613"/>
      <c r="D180" s="84" t="s">
        <v>85</v>
      </c>
      <c r="E180" s="101"/>
      <c r="F180" s="101"/>
      <c r="G180" s="101">
        <f>E180*F180</f>
        <v>0</v>
      </c>
    </row>
    <row r="181" spans="1:7" ht="15" customHeight="1">
      <c r="A181" s="84"/>
      <c r="B181" s="587" t="s">
        <v>177</v>
      </c>
      <c r="C181" s="588"/>
      <c r="D181" s="84"/>
      <c r="E181" s="84"/>
      <c r="F181" s="84"/>
      <c r="G181" s="85">
        <f>SUM(G171:G180)</f>
        <v>4478.362963659148</v>
      </c>
    </row>
    <row r="182" ht="13.5" customHeight="1">
      <c r="A182" s="67"/>
    </row>
    <row r="183" ht="14.25">
      <c r="A183" s="76" t="s">
        <v>178</v>
      </c>
    </row>
    <row r="184" ht="15" thickBot="1">
      <c r="A184" s="76"/>
    </row>
    <row r="185" spans="1:7" ht="28.5" customHeight="1">
      <c r="A185" s="96" t="s">
        <v>37</v>
      </c>
      <c r="B185" s="598" t="s">
        <v>38</v>
      </c>
      <c r="C185" s="599"/>
      <c r="D185" s="77" t="s">
        <v>39</v>
      </c>
      <c r="E185" s="78" t="s">
        <v>207</v>
      </c>
      <c r="F185" s="78" t="s">
        <v>58</v>
      </c>
      <c r="G185" s="78" t="s">
        <v>59</v>
      </c>
    </row>
    <row r="186" spans="1:7" ht="15" customHeight="1">
      <c r="A186" s="84" t="s">
        <v>9</v>
      </c>
      <c r="B186" s="613" t="s">
        <v>179</v>
      </c>
      <c r="C186" s="613"/>
      <c r="D186" s="84" t="s">
        <v>180</v>
      </c>
      <c r="E186" s="101"/>
      <c r="F186" s="101"/>
      <c r="G186" s="101">
        <f>E186*F186</f>
        <v>0</v>
      </c>
    </row>
    <row r="187" spans="1:7" ht="15" customHeight="1">
      <c r="A187" s="84" t="s">
        <v>45</v>
      </c>
      <c r="B187" s="613" t="s">
        <v>181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 t="s">
        <v>14</v>
      </c>
      <c r="B188" s="613" t="s">
        <v>182</v>
      </c>
      <c r="C188" s="613"/>
      <c r="D188" s="84" t="s">
        <v>180</v>
      </c>
      <c r="E188" s="101"/>
      <c r="F188" s="101"/>
      <c r="G188" s="101">
        <f>E188*F188</f>
        <v>0</v>
      </c>
    </row>
    <row r="189" spans="1:7" ht="15" customHeight="1">
      <c r="A189" s="84"/>
      <c r="B189" s="587" t="s">
        <v>183</v>
      </c>
      <c r="C189" s="588"/>
      <c r="D189" s="84"/>
      <c r="E189" s="84"/>
      <c r="F189" s="84"/>
      <c r="G189" s="85">
        <f>SUM(G186:G188)</f>
        <v>0</v>
      </c>
    </row>
    <row r="190" ht="14.25">
      <c r="A190" s="67"/>
    </row>
    <row r="191" ht="14.25">
      <c r="A191" s="67"/>
    </row>
    <row r="192" ht="14.25">
      <c r="A192" s="67" t="s">
        <v>184</v>
      </c>
    </row>
    <row r="193" ht="15" thickBot="1">
      <c r="A193" s="67"/>
    </row>
    <row r="194" spans="1:7" ht="28.5" customHeight="1">
      <c r="A194" s="96" t="s">
        <v>37</v>
      </c>
      <c r="B194" s="598" t="s">
        <v>38</v>
      </c>
      <c r="C194" s="599"/>
      <c r="D194" s="77" t="s">
        <v>39</v>
      </c>
      <c r="E194" s="78" t="s">
        <v>210</v>
      </c>
      <c r="F194" s="78" t="s">
        <v>58</v>
      </c>
      <c r="G194" s="78" t="s">
        <v>59</v>
      </c>
    </row>
    <row r="195" spans="1:7" ht="15" customHeight="1">
      <c r="A195" s="84" t="s">
        <v>9</v>
      </c>
      <c r="B195" s="613" t="s">
        <v>185</v>
      </c>
      <c r="C195" s="613"/>
      <c r="D195" s="84" t="s">
        <v>85</v>
      </c>
      <c r="E195" s="101">
        <v>2</v>
      </c>
      <c r="F195" s="101">
        <v>32.6</v>
      </c>
      <c r="G195" s="103">
        <f>E195*F195</f>
        <v>65.2</v>
      </c>
    </row>
    <row r="196" spans="1:7" ht="14.25" customHeight="1">
      <c r="A196" s="84" t="s">
        <v>45</v>
      </c>
      <c r="B196" s="613" t="s">
        <v>186</v>
      </c>
      <c r="C196" s="613"/>
      <c r="D196" s="84" t="s">
        <v>85</v>
      </c>
      <c r="E196" s="114"/>
      <c r="F196" s="44">
        <f>(1151.55+210.41+5.7+145.58)*1.2</f>
        <v>1815.888</v>
      </c>
      <c r="G196" s="103">
        <f>F196*E195</f>
        <v>3631.776</v>
      </c>
    </row>
    <row r="197" spans="1:7" ht="14.25" customHeight="1">
      <c r="A197" s="84" t="s">
        <v>14</v>
      </c>
      <c r="B197" s="613" t="s">
        <v>187</v>
      </c>
      <c r="C197" s="613"/>
      <c r="D197" s="84" t="s">
        <v>85</v>
      </c>
      <c r="E197" s="114"/>
      <c r="F197" s="114"/>
      <c r="G197" s="114"/>
    </row>
    <row r="198" spans="1:7" ht="14.25">
      <c r="A198" s="84" t="s">
        <v>49</v>
      </c>
      <c r="B198" s="613" t="s">
        <v>188</v>
      </c>
      <c r="C198" s="613"/>
      <c r="D198" s="84" t="s">
        <v>85</v>
      </c>
      <c r="E198" s="114"/>
      <c r="F198" s="114"/>
      <c r="G198" s="114"/>
    </row>
    <row r="199" spans="1:7" ht="15" customHeight="1">
      <c r="A199" s="84" t="s">
        <v>19</v>
      </c>
      <c r="B199" s="613" t="s">
        <v>189</v>
      </c>
      <c r="C199" s="613"/>
      <c r="D199" s="84" t="s">
        <v>85</v>
      </c>
      <c r="E199" s="114"/>
      <c r="F199" s="114"/>
      <c r="G199" s="114"/>
    </row>
    <row r="200" spans="1:10" ht="15" customHeight="1">
      <c r="A200" s="84" t="s">
        <v>54</v>
      </c>
      <c r="B200" s="613" t="s">
        <v>190</v>
      </c>
      <c r="C200" s="613"/>
      <c r="D200" s="84" t="s">
        <v>101</v>
      </c>
      <c r="E200" s="241">
        <f>J200/F200</f>
        <v>72.29930013402</v>
      </c>
      <c r="F200" s="43">
        <v>1.68</v>
      </c>
      <c r="G200" s="240">
        <f>E200*F200</f>
        <v>121.4628242251536</v>
      </c>
      <c r="H200" s="54"/>
      <c r="I200" s="448">
        <f>1288300*0.4/8485.23</f>
        <v>60.7314121125768</v>
      </c>
      <c r="J200" s="448">
        <f>I200*E195</f>
        <v>121.4628242251536</v>
      </c>
    </row>
    <row r="201" spans="1:10" ht="15" customHeight="1">
      <c r="A201" s="84" t="s">
        <v>22</v>
      </c>
      <c r="B201" s="613" t="s">
        <v>191</v>
      </c>
      <c r="C201" s="613"/>
      <c r="D201" s="84" t="s">
        <v>192</v>
      </c>
      <c r="E201" s="446">
        <f>J201/F201</f>
        <v>0.4023321048215947</v>
      </c>
      <c r="F201" s="43">
        <f>987*1.2</f>
        <v>1184.3999999999999</v>
      </c>
      <c r="G201" s="240">
        <f>E201*F201</f>
        <v>476.5221449506967</v>
      </c>
      <c r="H201" s="54"/>
      <c r="I201" s="448">
        <f>2021700/8485.23</f>
        <v>238.26107247534836</v>
      </c>
      <c r="J201" s="448">
        <f>I201*E195</f>
        <v>476.5221449506967</v>
      </c>
    </row>
    <row r="202" spans="1:10" ht="15" customHeight="1">
      <c r="A202" s="84" t="s">
        <v>72</v>
      </c>
      <c r="B202" s="613" t="s">
        <v>193</v>
      </c>
      <c r="C202" s="613"/>
      <c r="D202" s="84" t="s">
        <v>85</v>
      </c>
      <c r="E202" s="447"/>
      <c r="F202" s="241">
        <f>(229000+16300)/8485.23</f>
        <v>28.909057267746427</v>
      </c>
      <c r="G202" s="240">
        <f>F202*E195</f>
        <v>57.81811453549285</v>
      </c>
      <c r="H202" s="54"/>
      <c r="I202" s="54"/>
      <c r="J202" s="54"/>
    </row>
    <row r="203" spans="1:10" ht="14.25" customHeight="1">
      <c r="A203" s="84" t="s">
        <v>26</v>
      </c>
      <c r="B203" s="613" t="s">
        <v>194</v>
      </c>
      <c r="C203" s="613"/>
      <c r="D203" s="84" t="s">
        <v>85</v>
      </c>
      <c r="E203" s="447"/>
      <c r="F203" s="43">
        <v>2693.4</v>
      </c>
      <c r="G203" s="240">
        <f>F203*E195</f>
        <v>5386.8</v>
      </c>
      <c r="H203" s="54"/>
      <c r="I203" s="54"/>
      <c r="J203" s="54"/>
    </row>
    <row r="204" spans="1:10" ht="15" customHeight="1">
      <c r="A204" s="84" t="s">
        <v>31</v>
      </c>
      <c r="B204" s="613" t="s">
        <v>195</v>
      </c>
      <c r="C204" s="613"/>
      <c r="D204" s="84" t="s">
        <v>85</v>
      </c>
      <c r="E204" s="447"/>
      <c r="F204" s="43">
        <v>300.6</v>
      </c>
      <c r="G204" s="240">
        <f>F204*E195</f>
        <v>601.2</v>
      </c>
      <c r="H204" s="54"/>
      <c r="I204" s="54"/>
      <c r="J204" s="54"/>
    </row>
    <row r="205" spans="1:10" ht="15" customHeight="1">
      <c r="A205" s="84" t="s">
        <v>79</v>
      </c>
      <c r="B205" s="613" t="s">
        <v>196</v>
      </c>
      <c r="C205" s="613"/>
      <c r="D205" s="84" t="s">
        <v>85</v>
      </c>
      <c r="E205" s="447"/>
      <c r="F205" s="43">
        <v>1242.8</v>
      </c>
      <c r="G205" s="240">
        <f>F205*E195</f>
        <v>2485.6</v>
      </c>
      <c r="H205" s="54"/>
      <c r="I205" s="54"/>
      <c r="J205" s="54"/>
    </row>
    <row r="206" ht="14.25">
      <c r="A206" s="67"/>
    </row>
    <row r="207" ht="14.25">
      <c r="A207" s="67" t="s">
        <v>197</v>
      </c>
    </row>
    <row r="208" ht="15" thickBot="1">
      <c r="A208" s="76"/>
    </row>
    <row r="209" spans="1:7" ht="14.25" customHeight="1">
      <c r="A209" s="623" t="s">
        <v>37</v>
      </c>
      <c r="B209" s="598" t="s">
        <v>38</v>
      </c>
      <c r="C209" s="599"/>
      <c r="D209" s="77" t="s">
        <v>198</v>
      </c>
      <c r="E209" s="598" t="s">
        <v>59</v>
      </c>
      <c r="F209" s="616"/>
      <c r="G209" s="599"/>
    </row>
    <row r="210" spans="1:7" ht="14.25">
      <c r="A210" s="624"/>
      <c r="B210" s="600"/>
      <c r="C210" s="612"/>
      <c r="D210" s="112" t="s">
        <v>199</v>
      </c>
      <c r="E210" s="600"/>
      <c r="F210" s="617"/>
      <c r="G210" s="612"/>
    </row>
    <row r="211" spans="1:7" ht="15" customHeight="1">
      <c r="A211" s="84" t="s">
        <v>9</v>
      </c>
      <c r="B211" s="613" t="s">
        <v>200</v>
      </c>
      <c r="C211" s="613"/>
      <c r="D211" s="84" t="s">
        <v>85</v>
      </c>
      <c r="E211" s="614">
        <f>G44+G59+G63+G64+G97+G118+G130+G143+G157+G165+G181+G189</f>
        <v>25748.08985353771</v>
      </c>
      <c r="F211" s="615"/>
      <c r="G211" s="615"/>
    </row>
    <row r="212" spans="1:7" ht="15" customHeight="1">
      <c r="A212" s="84" t="s">
        <v>45</v>
      </c>
      <c r="B212" s="613" t="s">
        <v>201</v>
      </c>
      <c r="C212" s="613"/>
      <c r="D212" s="84" t="s">
        <v>85</v>
      </c>
      <c r="E212" s="614">
        <f>SUM(G195:G205)</f>
        <v>12826.379083711345</v>
      </c>
      <c r="F212" s="614"/>
      <c r="G212" s="614"/>
    </row>
    <row r="213" spans="1:7" ht="14.25">
      <c r="A213" s="84" t="s">
        <v>14</v>
      </c>
      <c r="B213" s="613" t="s">
        <v>202</v>
      </c>
      <c r="C213" s="613"/>
      <c r="D213" s="84" t="s">
        <v>85</v>
      </c>
      <c r="E213" s="614">
        <f>E211+E212</f>
        <v>38574.468937249054</v>
      </c>
      <c r="F213" s="614"/>
      <c r="G213" s="614"/>
    </row>
    <row r="214" spans="1:7" ht="15" customHeight="1">
      <c r="A214" s="84">
        <v>4</v>
      </c>
      <c r="B214" s="613" t="s">
        <v>203</v>
      </c>
      <c r="C214" s="613"/>
      <c r="D214" s="84" t="s">
        <v>85</v>
      </c>
      <c r="E214" s="611"/>
      <c r="F214" s="611"/>
      <c r="G214" s="611"/>
    </row>
    <row r="215" spans="1:7" ht="15" customHeight="1">
      <c r="A215" s="84" t="s">
        <v>19</v>
      </c>
      <c r="B215" s="613" t="s">
        <v>204</v>
      </c>
      <c r="C215" s="613"/>
      <c r="D215" s="84" t="s">
        <v>85</v>
      </c>
      <c r="E215" s="611">
        <f>E213-E214</f>
        <v>38574.468937249054</v>
      </c>
      <c r="F215" s="611"/>
      <c r="G215" s="611"/>
    </row>
    <row r="216" ht="14.25">
      <c r="A216" s="95"/>
    </row>
    <row r="217" ht="14.25">
      <c r="A217" s="95"/>
    </row>
    <row r="218" spans="2:3" ht="14.25">
      <c r="B218" s="116" t="s">
        <v>63</v>
      </c>
      <c r="C218" s="117"/>
    </row>
    <row r="219" ht="14.25">
      <c r="A219" s="95"/>
    </row>
    <row r="220" ht="14.25">
      <c r="B220" s="116" t="s">
        <v>206</v>
      </c>
    </row>
  </sheetData>
  <sheetProtection/>
  <mergeCells count="165">
    <mergeCell ref="B138:C138"/>
    <mergeCell ref="B140:C140"/>
    <mergeCell ref="B123:C123"/>
    <mergeCell ref="B134:C134"/>
    <mergeCell ref="B135:C135"/>
    <mergeCell ref="B136:C136"/>
    <mergeCell ref="B129:C129"/>
    <mergeCell ref="B111:C111"/>
    <mergeCell ref="B114:C114"/>
    <mergeCell ref="B115:C115"/>
    <mergeCell ref="B116:C116"/>
    <mergeCell ref="B117:C117"/>
    <mergeCell ref="B137:C137"/>
    <mergeCell ref="B72:C72"/>
    <mergeCell ref="B73:C73"/>
    <mergeCell ref="B79:C79"/>
    <mergeCell ref="B110:C110"/>
    <mergeCell ref="B95:C95"/>
    <mergeCell ref="B102:C102"/>
    <mergeCell ref="B103:C103"/>
    <mergeCell ref="B104:C104"/>
    <mergeCell ref="B101:C101"/>
    <mergeCell ref="B107:C107"/>
    <mergeCell ref="A33:A34"/>
    <mergeCell ref="B44:C44"/>
    <mergeCell ref="B63:C63"/>
    <mergeCell ref="B64:C64"/>
    <mergeCell ref="A40:A43"/>
    <mergeCell ref="B36:C36"/>
    <mergeCell ref="B37:C37"/>
    <mergeCell ref="B38:C38"/>
    <mergeCell ref="B39:C39"/>
    <mergeCell ref="B40:C40"/>
    <mergeCell ref="A209:A210"/>
    <mergeCell ref="B124:C124"/>
    <mergeCell ref="B125:C125"/>
    <mergeCell ref="B126:C126"/>
    <mergeCell ref="B127:C127"/>
    <mergeCell ref="B128:C128"/>
    <mergeCell ref="B141:C141"/>
    <mergeCell ref="A161:A162"/>
    <mergeCell ref="B161:C162"/>
    <mergeCell ref="B163:C163"/>
    <mergeCell ref="A47:A48"/>
    <mergeCell ref="D135:G135"/>
    <mergeCell ref="F47:F48"/>
    <mergeCell ref="G47:G48"/>
    <mergeCell ref="B80:C80"/>
    <mergeCell ref="B81:C81"/>
    <mergeCell ref="B70:C70"/>
    <mergeCell ref="B71:C71"/>
    <mergeCell ref="A69:C69"/>
    <mergeCell ref="A68:C68"/>
    <mergeCell ref="B85:C85"/>
    <mergeCell ref="A87:C87"/>
    <mergeCell ref="A88:C88"/>
    <mergeCell ref="A93:C93"/>
    <mergeCell ref="B105:C105"/>
    <mergeCell ref="B106:C106"/>
    <mergeCell ref="B96:C96"/>
    <mergeCell ref="B150:C150"/>
    <mergeCell ref="B151:C151"/>
    <mergeCell ref="B94:C94"/>
    <mergeCell ref="B143:C143"/>
    <mergeCell ref="D136:G136"/>
    <mergeCell ref="B86:C86"/>
    <mergeCell ref="B108:C108"/>
    <mergeCell ref="B109:C109"/>
    <mergeCell ref="B112:C112"/>
    <mergeCell ref="B113:C113"/>
    <mergeCell ref="B74:C74"/>
    <mergeCell ref="B75:C75"/>
    <mergeCell ref="B76:C76"/>
    <mergeCell ref="B77:C77"/>
    <mergeCell ref="B154:C154"/>
    <mergeCell ref="A82:C82"/>
    <mergeCell ref="A83:C83"/>
    <mergeCell ref="B153:C153"/>
    <mergeCell ref="B152:C152"/>
    <mergeCell ref="B149:C149"/>
    <mergeCell ref="B148:C148"/>
    <mergeCell ref="B147:C147"/>
    <mergeCell ref="B139:C139"/>
    <mergeCell ref="B142:C142"/>
    <mergeCell ref="B78:C78"/>
    <mergeCell ref="B91:C91"/>
    <mergeCell ref="B97:C97"/>
    <mergeCell ref="B89:C89"/>
    <mergeCell ref="B90:C90"/>
    <mergeCell ref="B84:C84"/>
    <mergeCell ref="B157:C157"/>
    <mergeCell ref="B156:C156"/>
    <mergeCell ref="B155:C155"/>
    <mergeCell ref="B172:C172"/>
    <mergeCell ref="B175:C175"/>
    <mergeCell ref="B176:C176"/>
    <mergeCell ref="B174:C174"/>
    <mergeCell ref="B170:C170"/>
    <mergeCell ref="B164:C164"/>
    <mergeCell ref="B165:C165"/>
    <mergeCell ref="B169:C169"/>
    <mergeCell ref="B171:C171"/>
    <mergeCell ref="B185:C185"/>
    <mergeCell ref="B194:C194"/>
    <mergeCell ref="B189:C189"/>
    <mergeCell ref="B178:C178"/>
    <mergeCell ref="B179:C179"/>
    <mergeCell ref="B180:C180"/>
    <mergeCell ref="B196:C196"/>
    <mergeCell ref="B197:C197"/>
    <mergeCell ref="B198:C198"/>
    <mergeCell ref="B199:C199"/>
    <mergeCell ref="B195:C195"/>
    <mergeCell ref="B173:C173"/>
    <mergeCell ref="B186:C186"/>
    <mergeCell ref="B187:C187"/>
    <mergeCell ref="B188:C188"/>
    <mergeCell ref="B177:C177"/>
    <mergeCell ref="B200:C200"/>
    <mergeCell ref="B201:C201"/>
    <mergeCell ref="B202:C202"/>
    <mergeCell ref="E214:G214"/>
    <mergeCell ref="B203:C203"/>
    <mergeCell ref="B204:C204"/>
    <mergeCell ref="B205:C205"/>
    <mergeCell ref="E209:G210"/>
    <mergeCell ref="E215:G215"/>
    <mergeCell ref="B209:C210"/>
    <mergeCell ref="B211:C211"/>
    <mergeCell ref="B212:C212"/>
    <mergeCell ref="B213:C213"/>
    <mergeCell ref="B214:C214"/>
    <mergeCell ref="B215:C215"/>
    <mergeCell ref="E211:G211"/>
    <mergeCell ref="E212:G212"/>
    <mergeCell ref="E213:G213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B67:C67"/>
    <mergeCell ref="B62:C62"/>
    <mergeCell ref="D47:D48"/>
    <mergeCell ref="F20:G20"/>
    <mergeCell ref="F22:G22"/>
    <mergeCell ref="F24:G24"/>
    <mergeCell ref="B28:G28"/>
    <mergeCell ref="C26:G26"/>
    <mergeCell ref="E47:E48"/>
    <mergeCell ref="B33:C34"/>
    <mergeCell ref="B118:C118"/>
    <mergeCell ref="B130:C130"/>
    <mergeCell ref="B181:C181"/>
    <mergeCell ref="A7:G7"/>
    <mergeCell ref="A8:G8"/>
    <mergeCell ref="A9:G9"/>
    <mergeCell ref="B27:G27"/>
    <mergeCell ref="D24:E24"/>
    <mergeCell ref="F16:G16"/>
    <mergeCell ref="F18:G18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92">
      <selection activeCell="F202" sqref="F202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335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336</v>
      </c>
      <c r="D18" s="596" t="s">
        <v>17</v>
      </c>
      <c r="E18" s="597"/>
      <c r="F18" s="596" t="s">
        <v>337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236" t="s">
        <v>613</v>
      </c>
      <c r="D20" s="596" t="s">
        <v>21</v>
      </c>
      <c r="E20" s="597"/>
      <c r="F20" s="596" t="s">
        <v>614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427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338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339</v>
      </c>
      <c r="D26" s="592"/>
      <c r="E26" s="592"/>
      <c r="F26" s="592"/>
      <c r="G26" s="593"/>
    </row>
    <row r="27" spans="1:7" ht="15" thickBot="1">
      <c r="A27" s="75"/>
      <c r="B27" s="591" t="s">
        <v>340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341</v>
      </c>
      <c r="C36" s="613"/>
      <c r="D36" s="84" t="s">
        <v>43</v>
      </c>
      <c r="E36" s="85">
        <v>10</v>
      </c>
      <c r="F36" s="86">
        <f>F50/42</f>
        <v>0.8724209323909474</v>
      </c>
      <c r="G36" s="85">
        <f aca="true" t="shared" si="0" ref="G36:G43">E36*F36</f>
        <v>8.724209323909474</v>
      </c>
    </row>
    <row r="37" spans="1:7" ht="15" customHeight="1">
      <c r="A37" s="84" t="s">
        <v>45</v>
      </c>
      <c r="B37" s="613" t="s">
        <v>342</v>
      </c>
      <c r="C37" s="613"/>
      <c r="D37" s="84" t="s">
        <v>43</v>
      </c>
      <c r="E37" s="84">
        <v>7</v>
      </c>
      <c r="F37" s="86">
        <f>F50/42</f>
        <v>0.8724209323909474</v>
      </c>
      <c r="G37" s="85">
        <f t="shared" si="0"/>
        <v>6.106946526736632</v>
      </c>
    </row>
    <row r="38" spans="1:7" ht="15" customHeight="1">
      <c r="A38" s="84" t="s">
        <v>14</v>
      </c>
      <c r="B38" s="613" t="s">
        <v>343</v>
      </c>
      <c r="C38" s="613"/>
      <c r="D38" s="84" t="s">
        <v>43</v>
      </c>
      <c r="E38" s="94" t="s">
        <v>344</v>
      </c>
      <c r="F38" s="86">
        <f>F53/42</f>
        <v>0.6639537374170058</v>
      </c>
      <c r="G38" s="85">
        <f t="shared" si="0"/>
        <v>4.6476761619190405</v>
      </c>
    </row>
    <row r="39" spans="1:7" ht="15" customHeight="1">
      <c r="A39" s="84" t="s">
        <v>49</v>
      </c>
      <c r="B39" s="613" t="s">
        <v>569</v>
      </c>
      <c r="C39" s="613"/>
      <c r="D39" s="84" t="s">
        <v>43</v>
      </c>
      <c r="E39" s="94" t="s">
        <v>242</v>
      </c>
      <c r="F39" s="86">
        <f>F53/42</f>
        <v>0.6639537374170058</v>
      </c>
      <c r="G39" s="85">
        <f t="shared" si="0"/>
        <v>1.9918612122510173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52</v>
      </c>
      <c r="C41" s="608"/>
      <c r="D41" s="87"/>
      <c r="E41" s="90"/>
      <c r="F41" s="89"/>
      <c r="G41" s="84">
        <f t="shared" si="0"/>
        <v>0</v>
      </c>
    </row>
    <row r="42" spans="1:7" ht="15.75" customHeight="1">
      <c r="A42" s="627"/>
      <c r="B42" s="607"/>
      <c r="C42" s="608"/>
      <c r="D42" s="87"/>
      <c r="E42" s="90"/>
      <c r="F42" s="89"/>
      <c r="G42" s="84">
        <f t="shared" si="0"/>
        <v>0</v>
      </c>
    </row>
    <row r="43" spans="1:7" ht="14.25">
      <c r="A43" s="627"/>
      <c r="B43" s="609"/>
      <c r="C43" s="610"/>
      <c r="D43" s="87"/>
      <c r="E43" s="91"/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21.470693224816163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/>
      <c r="D49" s="84" t="s">
        <v>43</v>
      </c>
      <c r="E49" s="84"/>
      <c r="F49" s="86"/>
      <c r="G49" s="85">
        <f>E49*F49</f>
        <v>0</v>
      </c>
    </row>
    <row r="50" spans="1:7" ht="15" customHeight="1">
      <c r="A50" s="84">
        <v>2</v>
      </c>
      <c r="B50" s="93" t="s">
        <v>63</v>
      </c>
      <c r="C50" s="93" t="s">
        <v>345</v>
      </c>
      <c r="D50" s="84" t="s">
        <v>43</v>
      </c>
      <c r="E50" s="84">
        <v>15</v>
      </c>
      <c r="F50" s="237">
        <f>6110*12/2001</f>
        <v>36.64167916041979</v>
      </c>
      <c r="G50" s="85">
        <f>E50*F50</f>
        <v>549.6251874062968</v>
      </c>
    </row>
    <row r="51" spans="1:7" ht="15" customHeight="1">
      <c r="A51" s="84">
        <v>3</v>
      </c>
      <c r="B51" s="93" t="s">
        <v>309</v>
      </c>
      <c r="C51" s="93" t="s">
        <v>345</v>
      </c>
      <c r="D51" s="84" t="s">
        <v>43</v>
      </c>
      <c r="E51" s="84">
        <v>4</v>
      </c>
      <c r="F51" s="237">
        <f>6110*12/2001</f>
        <v>36.64167916041979</v>
      </c>
      <c r="G51" s="85">
        <f>E51*F51</f>
        <v>146.56671664167916</v>
      </c>
    </row>
    <row r="52" spans="1:9" ht="15" customHeight="1">
      <c r="A52" s="84">
        <v>4</v>
      </c>
      <c r="B52" s="93" t="s">
        <v>67</v>
      </c>
      <c r="C52" s="93" t="s">
        <v>453</v>
      </c>
      <c r="D52" s="84" t="s">
        <v>43</v>
      </c>
      <c r="E52" s="94" t="s">
        <v>261</v>
      </c>
      <c r="F52" s="237">
        <f>4386*12/2001</f>
        <v>26.302848575712144</v>
      </c>
      <c r="G52" s="85">
        <f>E52*F52*4</f>
        <v>420.8455772113943</v>
      </c>
      <c r="I52" s="440" t="s">
        <v>537</v>
      </c>
    </row>
    <row r="53" spans="1:9" ht="15" customHeight="1">
      <c r="A53" s="84">
        <v>5</v>
      </c>
      <c r="B53" s="93" t="s">
        <v>70</v>
      </c>
      <c r="C53" s="93" t="s">
        <v>346</v>
      </c>
      <c r="D53" s="84" t="s">
        <v>43</v>
      </c>
      <c r="E53" s="84">
        <v>8</v>
      </c>
      <c r="F53" s="237">
        <f>4650*12/2001</f>
        <v>27.886056971514243</v>
      </c>
      <c r="G53" s="85">
        <f aca="true" t="shared" si="1" ref="G53:G58">E53*F53</f>
        <v>223.08845577211395</v>
      </c>
      <c r="I53" s="234"/>
    </row>
    <row r="54" spans="1:9" ht="15" customHeight="1">
      <c r="A54" s="84">
        <v>6</v>
      </c>
      <c r="B54" s="93" t="s">
        <v>73</v>
      </c>
      <c r="C54" s="93" t="s">
        <v>347</v>
      </c>
      <c r="D54" s="84" t="s">
        <v>43</v>
      </c>
      <c r="E54" s="94" t="s">
        <v>261</v>
      </c>
      <c r="F54" s="237">
        <f>4220*12/2001</f>
        <v>25.307346326836583</v>
      </c>
      <c r="G54" s="85">
        <f t="shared" si="1"/>
        <v>101.22938530734633</v>
      </c>
      <c r="I54" s="119"/>
    </row>
    <row r="55" spans="1:7" ht="15" customHeight="1">
      <c r="A55" s="84">
        <v>7</v>
      </c>
      <c r="B55" s="93" t="s">
        <v>75</v>
      </c>
      <c r="C55" s="93" t="s">
        <v>349</v>
      </c>
      <c r="D55" s="84" t="s">
        <v>43</v>
      </c>
      <c r="E55" s="84">
        <v>3</v>
      </c>
      <c r="F55" s="237">
        <f>3810*12/2001</f>
        <v>22.848575712143926</v>
      </c>
      <c r="G55" s="85">
        <f t="shared" si="1"/>
        <v>68.54572713643178</v>
      </c>
    </row>
    <row r="56" spans="1:9" ht="15" customHeight="1">
      <c r="A56" s="84">
        <v>8</v>
      </c>
      <c r="B56" s="93" t="s">
        <v>332</v>
      </c>
      <c r="C56" s="93" t="s">
        <v>350</v>
      </c>
      <c r="D56" s="84" t="s">
        <v>43</v>
      </c>
      <c r="E56" s="84">
        <v>3</v>
      </c>
      <c r="F56" s="237">
        <f>3500*12/2001</f>
        <v>20.98950524737631</v>
      </c>
      <c r="G56" s="85">
        <f t="shared" si="1"/>
        <v>62.96851574212893</v>
      </c>
      <c r="I56" s="234"/>
    </row>
    <row r="57" spans="1:9" ht="15" customHeight="1">
      <c r="A57" s="84">
        <v>9</v>
      </c>
      <c r="B57" s="93" t="s">
        <v>80</v>
      </c>
      <c r="C57" s="93" t="s">
        <v>303</v>
      </c>
      <c r="D57" s="84" t="s">
        <v>43</v>
      </c>
      <c r="E57" s="94" t="s">
        <v>348</v>
      </c>
      <c r="F57" s="237">
        <f>3160*12/2001</f>
        <v>18.950524737631184</v>
      </c>
      <c r="G57" s="85">
        <f t="shared" si="1"/>
        <v>94.75262368815592</v>
      </c>
      <c r="I57" s="234"/>
    </row>
    <row r="58" spans="1:9" ht="15" customHeight="1">
      <c r="A58" s="84">
        <v>10</v>
      </c>
      <c r="B58" s="93" t="s">
        <v>425</v>
      </c>
      <c r="C58" s="93" t="s">
        <v>395</v>
      </c>
      <c r="D58" s="84" t="s">
        <v>43</v>
      </c>
      <c r="E58" s="94" t="s">
        <v>240</v>
      </c>
      <c r="F58" s="237">
        <f>3894*12/2001</f>
        <v>23.35232383808096</v>
      </c>
      <c r="G58" s="85">
        <f t="shared" si="1"/>
        <v>186.81859070464768</v>
      </c>
      <c r="I58" s="63" t="s">
        <v>211</v>
      </c>
    </row>
    <row r="59" spans="1:7" ht="15" customHeight="1">
      <c r="A59" s="84"/>
      <c r="B59" s="93" t="s">
        <v>82</v>
      </c>
      <c r="C59" s="93"/>
      <c r="D59" s="84"/>
      <c r="E59" s="84"/>
      <c r="F59" s="84"/>
      <c r="G59" s="85">
        <f>SUM(G49:G58)</f>
        <v>1854.4407796101948</v>
      </c>
    </row>
    <row r="60" ht="15" customHeight="1">
      <c r="A60" s="95"/>
    </row>
    <row r="61" ht="15" thickBot="1">
      <c r="A61" s="76" t="s">
        <v>83</v>
      </c>
    </row>
    <row r="62" spans="1:7" ht="28.5" customHeight="1">
      <c r="A62" s="96" t="s">
        <v>37</v>
      </c>
      <c r="B62" s="598" t="s">
        <v>38</v>
      </c>
      <c r="C62" s="599"/>
      <c r="D62" s="78" t="s">
        <v>39</v>
      </c>
      <c r="E62" s="78" t="s">
        <v>207</v>
      </c>
      <c r="F62" s="78" t="s">
        <v>58</v>
      </c>
      <c r="G62" s="78" t="s">
        <v>59</v>
      </c>
    </row>
    <row r="63" spans="1:7" ht="15" customHeight="1">
      <c r="A63" s="84" t="s">
        <v>9</v>
      </c>
      <c r="B63" s="613" t="s">
        <v>84</v>
      </c>
      <c r="C63" s="613"/>
      <c r="D63" s="84" t="s">
        <v>85</v>
      </c>
      <c r="E63" s="97"/>
      <c r="F63" s="97"/>
      <c r="G63" s="85">
        <f>(G44+G59)*0.23</f>
        <v>431.4596387520525</v>
      </c>
    </row>
    <row r="64" spans="1:7" ht="15" customHeight="1">
      <c r="A64" s="84" t="s">
        <v>45</v>
      </c>
      <c r="B64" s="613" t="s">
        <v>539</v>
      </c>
      <c r="C64" s="613"/>
      <c r="D64" s="84" t="s">
        <v>85</v>
      </c>
      <c r="E64" s="97"/>
      <c r="F64" s="97"/>
      <c r="G64" s="85">
        <f>(G44+G59)*0.04</f>
        <v>75.03645891340044</v>
      </c>
    </row>
    <row r="65" ht="18" customHeight="1">
      <c r="A65" s="95"/>
    </row>
    <row r="66" ht="15" thickBot="1">
      <c r="A66" s="76" t="s">
        <v>87</v>
      </c>
    </row>
    <row r="67" spans="1:7" ht="27" customHeight="1" thickBot="1">
      <c r="A67" s="78" t="s">
        <v>37</v>
      </c>
      <c r="B67" s="598" t="s">
        <v>38</v>
      </c>
      <c r="C67" s="599"/>
      <c r="D67" s="77" t="s">
        <v>39</v>
      </c>
      <c r="E67" s="96" t="s">
        <v>207</v>
      </c>
      <c r="F67" s="78" t="s">
        <v>58</v>
      </c>
      <c r="G67" s="78" t="s">
        <v>59</v>
      </c>
    </row>
    <row r="68" spans="1:7" ht="15" customHeight="1">
      <c r="A68" s="625"/>
      <c r="B68" s="625"/>
      <c r="C68" s="625"/>
      <c r="D68" s="98"/>
      <c r="E68" s="98"/>
      <c r="F68" s="99"/>
      <c r="G68" s="99"/>
    </row>
    <row r="69" spans="1:7" ht="14.25">
      <c r="A69" s="620" t="s">
        <v>88</v>
      </c>
      <c r="B69" s="620"/>
      <c r="C69" s="620"/>
      <c r="D69" s="87"/>
      <c r="E69" s="87"/>
      <c r="F69" s="89"/>
      <c r="G69" s="89"/>
    </row>
    <row r="70" spans="1:7" ht="15" customHeight="1">
      <c r="A70" s="100" t="s">
        <v>9</v>
      </c>
      <c r="B70" s="613" t="s">
        <v>273</v>
      </c>
      <c r="C70" s="613"/>
      <c r="D70" s="84"/>
      <c r="E70" s="84"/>
      <c r="F70" s="84"/>
      <c r="G70" s="84"/>
    </row>
    <row r="71" spans="1:7" ht="15" customHeight="1">
      <c r="A71" s="100" t="s">
        <v>45</v>
      </c>
      <c r="B71" s="613" t="s">
        <v>90</v>
      </c>
      <c r="C71" s="613"/>
      <c r="D71" s="84" t="s">
        <v>91</v>
      </c>
      <c r="E71" s="84">
        <v>5</v>
      </c>
      <c r="F71" s="84">
        <v>635.1</v>
      </c>
      <c r="G71" s="85">
        <f>E71*F71</f>
        <v>3175.5</v>
      </c>
    </row>
    <row r="72" spans="1:7" ht="15" customHeight="1">
      <c r="A72" s="100" t="s">
        <v>14</v>
      </c>
      <c r="B72" s="613" t="s">
        <v>92</v>
      </c>
      <c r="C72" s="613"/>
      <c r="D72" s="84" t="s">
        <v>91</v>
      </c>
      <c r="E72" s="84"/>
      <c r="F72" s="84"/>
      <c r="G72" s="85">
        <f>E72*F72</f>
        <v>0</v>
      </c>
    </row>
    <row r="73" spans="1:7" ht="15" customHeight="1">
      <c r="A73" s="100" t="s">
        <v>49</v>
      </c>
      <c r="B73" s="613" t="s">
        <v>93</v>
      </c>
      <c r="C73" s="613"/>
      <c r="D73" s="84" t="s">
        <v>91</v>
      </c>
      <c r="E73" s="84">
        <v>2</v>
      </c>
      <c r="F73" s="84">
        <v>635.1</v>
      </c>
      <c r="G73" s="85">
        <f>E73*F73</f>
        <v>1270.2</v>
      </c>
    </row>
    <row r="74" spans="1:7" ht="15" customHeight="1">
      <c r="A74" s="100" t="s">
        <v>19</v>
      </c>
      <c r="B74" s="613" t="s">
        <v>94</v>
      </c>
      <c r="C74" s="613"/>
      <c r="D74" s="84"/>
      <c r="E74" s="84"/>
      <c r="F74" s="84"/>
      <c r="G74" s="84"/>
    </row>
    <row r="75" spans="1:7" ht="15" customHeight="1">
      <c r="A75" s="100"/>
      <c r="B75" s="619" t="s">
        <v>95</v>
      </c>
      <c r="C75" s="619"/>
      <c r="D75" s="101" t="s">
        <v>96</v>
      </c>
      <c r="E75" s="101">
        <v>4</v>
      </c>
      <c r="F75" s="101"/>
      <c r="G75" s="101"/>
    </row>
    <row r="76" spans="1:7" ht="15" customHeight="1">
      <c r="A76" s="100"/>
      <c r="B76" s="619" t="s">
        <v>97</v>
      </c>
      <c r="C76" s="619"/>
      <c r="D76" s="101" t="s">
        <v>91</v>
      </c>
      <c r="E76" s="101">
        <v>3</v>
      </c>
      <c r="F76" s="101"/>
      <c r="G76" s="101"/>
    </row>
    <row r="77" spans="1:7" ht="15" customHeight="1">
      <c r="A77" s="100"/>
      <c r="B77" s="619" t="s">
        <v>98</v>
      </c>
      <c r="C77" s="619"/>
      <c r="D77" s="101" t="s">
        <v>85</v>
      </c>
      <c r="E77" s="101"/>
      <c r="F77" s="101">
        <v>16.04</v>
      </c>
      <c r="G77" s="42">
        <f>E75*E76*F77</f>
        <v>192.48</v>
      </c>
    </row>
    <row r="78" spans="1:7" ht="15" customHeight="1">
      <c r="A78" s="100" t="s">
        <v>54</v>
      </c>
      <c r="B78" s="613" t="s">
        <v>99</v>
      </c>
      <c r="C78" s="613"/>
      <c r="D78" s="101"/>
      <c r="E78" s="101"/>
      <c r="F78" s="101"/>
      <c r="G78" s="101"/>
    </row>
    <row r="79" spans="1:7" ht="15" customHeight="1">
      <c r="A79" s="100"/>
      <c r="B79" s="619" t="s">
        <v>97</v>
      </c>
      <c r="C79" s="619"/>
      <c r="D79" s="101" t="s">
        <v>91</v>
      </c>
      <c r="E79" s="101">
        <v>3</v>
      </c>
      <c r="F79" s="101"/>
      <c r="G79" s="101"/>
    </row>
    <row r="80" spans="1:7" ht="15" customHeight="1">
      <c r="A80" s="100"/>
      <c r="B80" s="619" t="s">
        <v>100</v>
      </c>
      <c r="C80" s="619"/>
      <c r="D80" s="101" t="s">
        <v>101</v>
      </c>
      <c r="E80" s="43">
        <v>118</v>
      </c>
      <c r="F80" s="41">
        <v>1.68</v>
      </c>
      <c r="G80" s="42">
        <f>E79*E80*F80</f>
        <v>594.72</v>
      </c>
    </row>
    <row r="81" spans="1:7" ht="15" customHeight="1">
      <c r="A81" s="100"/>
      <c r="B81" s="619" t="s">
        <v>102</v>
      </c>
      <c r="C81" s="619"/>
      <c r="D81" s="101" t="s">
        <v>91</v>
      </c>
      <c r="E81" s="41"/>
      <c r="F81" s="44">
        <f>2250.05/2</f>
        <v>1125.025</v>
      </c>
      <c r="G81" s="42">
        <f>E79*F81</f>
        <v>3375.0750000000003</v>
      </c>
    </row>
    <row r="82" spans="1:7" ht="14.25" customHeight="1">
      <c r="A82" s="620"/>
      <c r="B82" s="620"/>
      <c r="C82" s="620"/>
      <c r="D82" s="102"/>
      <c r="E82" s="102"/>
      <c r="F82" s="102"/>
      <c r="G82" s="102"/>
    </row>
    <row r="83" spans="1:7" ht="14.25">
      <c r="A83" s="620" t="s">
        <v>103</v>
      </c>
      <c r="B83" s="620"/>
      <c r="C83" s="620"/>
      <c r="D83" s="102"/>
      <c r="E83" s="102"/>
      <c r="F83" s="102"/>
      <c r="G83" s="102"/>
    </row>
    <row r="84" spans="1:7" ht="15" customHeight="1">
      <c r="A84" s="100"/>
      <c r="B84" s="619" t="s">
        <v>97</v>
      </c>
      <c r="C84" s="619"/>
      <c r="D84" s="101" t="s">
        <v>91</v>
      </c>
      <c r="E84" s="101">
        <v>8</v>
      </c>
      <c r="F84" s="101"/>
      <c r="G84" s="101"/>
    </row>
    <row r="85" spans="1:7" ht="15" customHeight="1">
      <c r="A85" s="100"/>
      <c r="B85" s="619" t="s">
        <v>104</v>
      </c>
      <c r="C85" s="619"/>
      <c r="D85" s="101" t="s">
        <v>101</v>
      </c>
      <c r="E85" s="101">
        <v>1.35</v>
      </c>
      <c r="F85" s="101">
        <v>1.68</v>
      </c>
      <c r="G85" s="103">
        <f>E84*E85*F85</f>
        <v>18.144000000000002</v>
      </c>
    </row>
    <row r="86" spans="1:7" ht="14.25" customHeight="1">
      <c r="A86" s="100"/>
      <c r="B86" s="619" t="s">
        <v>105</v>
      </c>
      <c r="C86" s="619"/>
      <c r="D86" s="101" t="s">
        <v>85</v>
      </c>
      <c r="E86" s="101"/>
      <c r="F86" s="101">
        <v>11.8</v>
      </c>
      <c r="G86" s="103">
        <f>E84*F86</f>
        <v>94.4</v>
      </c>
    </row>
    <row r="87" spans="1:7" ht="15" customHeight="1">
      <c r="A87" s="620"/>
      <c r="B87" s="620"/>
      <c r="C87" s="620"/>
      <c r="D87" s="102"/>
      <c r="E87" s="102"/>
      <c r="F87" s="102"/>
      <c r="G87" s="102"/>
    </row>
    <row r="88" spans="1:7" ht="14.25">
      <c r="A88" s="620" t="s">
        <v>106</v>
      </c>
      <c r="B88" s="620"/>
      <c r="C88" s="620"/>
      <c r="D88" s="102"/>
      <c r="E88" s="102"/>
      <c r="F88" s="102"/>
      <c r="G88" s="102"/>
    </row>
    <row r="89" spans="1:7" ht="15" customHeight="1">
      <c r="A89" s="100"/>
      <c r="B89" s="619" t="s">
        <v>97</v>
      </c>
      <c r="C89" s="619"/>
      <c r="D89" s="101" t="s">
        <v>91</v>
      </c>
      <c r="E89" s="101">
        <v>2</v>
      </c>
      <c r="F89" s="101"/>
      <c r="G89" s="101"/>
    </row>
    <row r="90" spans="1:7" ht="15" customHeight="1">
      <c r="A90" s="100"/>
      <c r="B90" s="619" t="s">
        <v>104</v>
      </c>
      <c r="C90" s="619"/>
      <c r="D90" s="101" t="s">
        <v>101</v>
      </c>
      <c r="E90" s="101">
        <v>0.5</v>
      </c>
      <c r="F90" s="101">
        <v>1.68</v>
      </c>
      <c r="G90" s="103">
        <f>E89*E90*F90</f>
        <v>1.68</v>
      </c>
    </row>
    <row r="91" spans="1:7" ht="14.25" customHeight="1">
      <c r="A91" s="100"/>
      <c r="B91" s="619" t="s">
        <v>107</v>
      </c>
      <c r="C91" s="619"/>
      <c r="D91" s="101" t="s">
        <v>85</v>
      </c>
      <c r="E91" s="101"/>
      <c r="F91" s="101">
        <v>0.6</v>
      </c>
      <c r="G91" s="103">
        <f>E89*F91</f>
        <v>1.2</v>
      </c>
    </row>
    <row r="93" spans="1:7" ht="15.75">
      <c r="A93" s="620" t="s">
        <v>208</v>
      </c>
      <c r="B93" s="620"/>
      <c r="C93" s="620"/>
      <c r="D93" s="87"/>
      <c r="E93" s="87"/>
      <c r="F93" s="89"/>
      <c r="G93" s="89"/>
    </row>
    <row r="94" spans="1:7" ht="18.75" customHeight="1">
      <c r="A94" s="93"/>
      <c r="B94" s="621"/>
      <c r="C94" s="621"/>
      <c r="D94" s="84"/>
      <c r="E94" s="84"/>
      <c r="F94" s="84"/>
      <c r="G94" s="84"/>
    </row>
    <row r="95" spans="1:7" ht="14.25">
      <c r="A95" s="93"/>
      <c r="B95" s="621"/>
      <c r="C95" s="621"/>
      <c r="D95" s="84"/>
      <c r="E95" s="84"/>
      <c r="F95" s="84"/>
      <c r="G95" s="84"/>
    </row>
    <row r="96" spans="1:7" ht="14.25">
      <c r="A96" s="93"/>
      <c r="B96" s="587"/>
      <c r="C96" s="588"/>
      <c r="D96" s="84"/>
      <c r="E96" s="94"/>
      <c r="F96" s="84"/>
      <c r="G96" s="85">
        <f>SUM(G94:G95)</f>
        <v>0</v>
      </c>
    </row>
    <row r="97" spans="1:7" ht="14.25" customHeight="1">
      <c r="A97" s="84"/>
      <c r="B97" s="587" t="s">
        <v>108</v>
      </c>
      <c r="C97" s="588"/>
      <c r="D97" s="84"/>
      <c r="E97" s="94"/>
      <c r="F97" s="84"/>
      <c r="G97" s="85">
        <f>SUM(G71:G96)</f>
        <v>8723.399000000001</v>
      </c>
    </row>
    <row r="98" spans="1:7" ht="12.75">
      <c r="A98" s="104"/>
      <c r="B98" s="104"/>
      <c r="C98" s="104"/>
      <c r="D98" s="104"/>
      <c r="E98" s="104"/>
      <c r="F98" s="104"/>
      <c r="G98" s="104"/>
    </row>
    <row r="99" ht="15" thickBot="1">
      <c r="A99" s="76" t="s">
        <v>110</v>
      </c>
    </row>
    <row r="100" spans="1:7" ht="26.25" customHeight="1">
      <c r="A100" s="96" t="s">
        <v>37</v>
      </c>
      <c r="B100" s="105" t="s">
        <v>38</v>
      </c>
      <c r="C100" s="106"/>
      <c r="D100" s="77" t="s">
        <v>39</v>
      </c>
      <c r="E100" s="78" t="s">
        <v>207</v>
      </c>
      <c r="F100" s="78" t="s">
        <v>58</v>
      </c>
      <c r="G100" s="78" t="s">
        <v>59</v>
      </c>
    </row>
    <row r="101" spans="1:7" ht="15" customHeight="1">
      <c r="A101" s="84" t="s">
        <v>9</v>
      </c>
      <c r="B101" s="613" t="s">
        <v>111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45</v>
      </c>
      <c r="B102" s="613" t="s">
        <v>112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14</v>
      </c>
      <c r="B103" s="613" t="s">
        <v>113</v>
      </c>
      <c r="C103" s="613"/>
      <c r="D103" s="101" t="s">
        <v>91</v>
      </c>
      <c r="E103" s="101"/>
      <c r="F103" s="101"/>
      <c r="G103" s="84">
        <f>E103*F103</f>
        <v>0</v>
      </c>
    </row>
    <row r="104" spans="1:7" ht="15" customHeight="1">
      <c r="A104" s="84" t="s">
        <v>49</v>
      </c>
      <c r="B104" s="613" t="s">
        <v>94</v>
      </c>
      <c r="C104" s="613"/>
      <c r="D104" s="101"/>
      <c r="E104" s="101"/>
      <c r="F104" s="101"/>
      <c r="G104" s="101"/>
    </row>
    <row r="105" spans="1:7" ht="15" customHeight="1">
      <c r="A105" s="84"/>
      <c r="B105" s="619" t="s">
        <v>95</v>
      </c>
      <c r="C105" s="619"/>
      <c r="D105" s="101" t="s">
        <v>96</v>
      </c>
      <c r="E105" s="101">
        <v>1</v>
      </c>
      <c r="F105" s="101"/>
      <c r="G105" s="101"/>
    </row>
    <row r="106" spans="1:7" ht="15" customHeight="1">
      <c r="A106" s="84"/>
      <c r="B106" s="619" t="s">
        <v>97</v>
      </c>
      <c r="C106" s="619"/>
      <c r="D106" s="101" t="s">
        <v>91</v>
      </c>
      <c r="E106" s="101">
        <v>4</v>
      </c>
      <c r="F106" s="101"/>
      <c r="G106" s="101"/>
    </row>
    <row r="107" spans="1:7" ht="15" customHeight="1">
      <c r="A107" s="84"/>
      <c r="B107" s="619" t="s">
        <v>114</v>
      </c>
      <c r="C107" s="619"/>
      <c r="D107" s="101" t="s">
        <v>85</v>
      </c>
      <c r="E107" s="101"/>
      <c r="F107" s="101">
        <v>16.04</v>
      </c>
      <c r="G107" s="103">
        <f>E105*E106*F107</f>
        <v>64.16</v>
      </c>
    </row>
    <row r="108" spans="1:7" ht="15" customHeight="1">
      <c r="A108" s="84" t="s">
        <v>19</v>
      </c>
      <c r="B108" s="630" t="s">
        <v>115</v>
      </c>
      <c r="C108" s="630"/>
      <c r="D108" s="101"/>
      <c r="E108" s="101"/>
      <c r="F108" s="101"/>
      <c r="G108" s="101"/>
    </row>
    <row r="109" spans="1:7" ht="15" customHeight="1">
      <c r="A109" s="84"/>
      <c r="B109" s="619" t="s">
        <v>116</v>
      </c>
      <c r="C109" s="619"/>
      <c r="D109" s="101" t="s">
        <v>117</v>
      </c>
      <c r="E109" s="101">
        <v>6</v>
      </c>
      <c r="F109" s="101"/>
      <c r="G109" s="101"/>
    </row>
    <row r="110" spans="1:7" ht="15" customHeight="1">
      <c r="A110" s="84"/>
      <c r="B110" s="619" t="s">
        <v>118</v>
      </c>
      <c r="C110" s="619"/>
      <c r="D110" s="101" t="s">
        <v>85</v>
      </c>
      <c r="E110" s="101">
        <v>10</v>
      </c>
      <c r="F110" s="107">
        <f>(14249.86+97346.65)/73/12/193*1</f>
        <v>0.6600687888896776</v>
      </c>
      <c r="G110" s="103">
        <f>E109*E110*F110</f>
        <v>39.60412733338065</v>
      </c>
    </row>
    <row r="111" spans="1:7" ht="15" customHeight="1">
      <c r="A111" s="84" t="s">
        <v>54</v>
      </c>
      <c r="B111" s="630" t="s">
        <v>119</v>
      </c>
      <c r="C111" s="630"/>
      <c r="D111" s="101"/>
      <c r="E111" s="101"/>
      <c r="F111" s="101"/>
      <c r="G111" s="101"/>
    </row>
    <row r="112" spans="1:7" ht="15" customHeight="1">
      <c r="A112" s="84"/>
      <c r="B112" s="619" t="s">
        <v>120</v>
      </c>
      <c r="C112" s="619"/>
      <c r="D112" s="101" t="s">
        <v>117</v>
      </c>
      <c r="E112" s="101"/>
      <c r="F112" s="101"/>
      <c r="G112" s="101"/>
    </row>
    <row r="113" spans="1:7" ht="15" customHeight="1">
      <c r="A113" s="84"/>
      <c r="B113" s="619" t="s">
        <v>121</v>
      </c>
      <c r="C113" s="619"/>
      <c r="D113" s="101" t="s">
        <v>85</v>
      </c>
      <c r="E113" s="101"/>
      <c r="F113" s="101"/>
      <c r="G113" s="101">
        <f>E112*E113*F113</f>
        <v>0</v>
      </c>
    </row>
    <row r="114" spans="1:7" ht="15" customHeight="1">
      <c r="A114" s="84" t="s">
        <v>22</v>
      </c>
      <c r="B114" s="630" t="s">
        <v>99</v>
      </c>
      <c r="C114" s="630"/>
      <c r="D114" s="101"/>
      <c r="E114" s="101"/>
      <c r="F114" s="101"/>
      <c r="G114" s="101"/>
    </row>
    <row r="115" spans="1:7" ht="15" customHeight="1">
      <c r="A115" s="84"/>
      <c r="B115" s="619" t="s">
        <v>97</v>
      </c>
      <c r="C115" s="619"/>
      <c r="D115" s="101" t="s">
        <v>91</v>
      </c>
      <c r="E115" s="101">
        <v>4</v>
      </c>
      <c r="F115" s="101"/>
      <c r="G115" s="101"/>
    </row>
    <row r="116" spans="1:7" ht="15" customHeight="1">
      <c r="A116" s="84"/>
      <c r="B116" s="619" t="s">
        <v>102</v>
      </c>
      <c r="C116" s="619"/>
      <c r="D116" s="101" t="s">
        <v>85</v>
      </c>
      <c r="E116" s="101"/>
      <c r="F116" s="101">
        <v>3.71</v>
      </c>
      <c r="G116" s="103">
        <f>E115*F116</f>
        <v>14.84</v>
      </c>
    </row>
    <row r="117" spans="1:7" ht="14.25" customHeight="1">
      <c r="A117" s="84" t="s">
        <v>72</v>
      </c>
      <c r="B117" s="613" t="s">
        <v>122</v>
      </c>
      <c r="C117" s="613"/>
      <c r="D117" s="101" t="s">
        <v>91</v>
      </c>
      <c r="E117" s="101"/>
      <c r="F117" s="101"/>
      <c r="G117" s="101">
        <f>E117*F117</f>
        <v>0</v>
      </c>
    </row>
    <row r="118" spans="1:7" ht="14.25" customHeight="1">
      <c r="A118" s="84"/>
      <c r="B118" s="587" t="s">
        <v>123</v>
      </c>
      <c r="C118" s="588"/>
      <c r="D118" s="84"/>
      <c r="E118" s="94"/>
      <c r="F118" s="84"/>
      <c r="G118" s="85">
        <f>SUM(G101:G117)</f>
        <v>118.60412733338066</v>
      </c>
    </row>
    <row r="119" ht="14.25">
      <c r="A119" s="67"/>
    </row>
    <row r="120" ht="14.25">
      <c r="A120" s="76" t="s">
        <v>124</v>
      </c>
    </row>
    <row r="121" ht="15" thickBot="1">
      <c r="A121" s="76"/>
    </row>
    <row r="122" spans="1:9" ht="29.25" customHeight="1">
      <c r="A122" s="96" t="s">
        <v>37</v>
      </c>
      <c r="B122" s="105" t="s">
        <v>38</v>
      </c>
      <c r="C122" s="106"/>
      <c r="D122" s="77" t="s">
        <v>39</v>
      </c>
      <c r="E122" s="108" t="s">
        <v>207</v>
      </c>
      <c r="F122" s="78" t="s">
        <v>58</v>
      </c>
      <c r="G122" s="78" t="s">
        <v>59</v>
      </c>
      <c r="H122" s="109"/>
      <c r="I122" s="110"/>
    </row>
    <row r="123" spans="1:9" ht="15" customHeight="1">
      <c r="A123" s="84" t="s">
        <v>9</v>
      </c>
      <c r="B123" s="613" t="s">
        <v>125</v>
      </c>
      <c r="C123" s="613"/>
      <c r="D123" s="101" t="s">
        <v>96</v>
      </c>
      <c r="E123" s="101">
        <v>1</v>
      </c>
      <c r="F123" s="101"/>
      <c r="G123" s="101"/>
      <c r="H123" s="89"/>
      <c r="I123" s="110"/>
    </row>
    <row r="124" spans="1:9" ht="15" customHeight="1">
      <c r="A124" s="84" t="s">
        <v>45</v>
      </c>
      <c r="B124" s="613" t="s">
        <v>126</v>
      </c>
      <c r="C124" s="613"/>
      <c r="D124" s="101" t="s">
        <v>127</v>
      </c>
      <c r="E124" s="101">
        <v>30</v>
      </c>
      <c r="F124" s="101"/>
      <c r="G124" s="101"/>
      <c r="H124" s="89"/>
      <c r="I124" s="110"/>
    </row>
    <row r="125" spans="1:9" ht="26.25" customHeight="1">
      <c r="A125" s="84" t="s">
        <v>14</v>
      </c>
      <c r="B125" s="613" t="s">
        <v>128</v>
      </c>
      <c r="C125" s="613"/>
      <c r="D125" s="101" t="s">
        <v>129</v>
      </c>
      <c r="E125" s="101">
        <v>4</v>
      </c>
      <c r="F125" s="44">
        <f>1880.95/722.42</f>
        <v>2.6036793001301186</v>
      </c>
      <c r="G125" s="103">
        <f>E123*E125*F125</f>
        <v>10.414717200520474</v>
      </c>
      <c r="H125" s="89"/>
      <c r="I125" s="110"/>
    </row>
    <row r="126" spans="1:9" ht="14.25" customHeight="1">
      <c r="A126" s="84" t="s">
        <v>49</v>
      </c>
      <c r="B126" s="613" t="s">
        <v>130</v>
      </c>
      <c r="C126" s="613"/>
      <c r="D126" s="101" t="s">
        <v>131</v>
      </c>
      <c r="E126" s="101"/>
      <c r="F126" s="101"/>
      <c r="G126" s="101"/>
      <c r="H126" s="89"/>
      <c r="I126" s="110"/>
    </row>
    <row r="127" spans="1:9" ht="15" customHeight="1">
      <c r="A127" s="84"/>
      <c r="B127" s="613" t="s">
        <v>132</v>
      </c>
      <c r="C127" s="613"/>
      <c r="D127" s="101" t="s">
        <v>131</v>
      </c>
      <c r="E127" s="101"/>
      <c r="F127" s="101"/>
      <c r="G127" s="101">
        <f>E127*F127</f>
        <v>0</v>
      </c>
      <c r="H127" s="89"/>
      <c r="I127" s="110"/>
    </row>
    <row r="128" spans="1:9" ht="15">
      <c r="A128" s="84"/>
      <c r="B128" s="613" t="s">
        <v>133</v>
      </c>
      <c r="C128" s="613"/>
      <c r="D128" s="101" t="s">
        <v>131</v>
      </c>
      <c r="E128" s="341">
        <f>6.6/100*E124</f>
        <v>1.98</v>
      </c>
      <c r="F128" s="111">
        <v>15.83</v>
      </c>
      <c r="G128" s="103">
        <f>E128*F128</f>
        <v>31.3434</v>
      </c>
      <c r="H128" s="89"/>
      <c r="I128" s="110"/>
    </row>
    <row r="129" spans="1:9" ht="15">
      <c r="A129" s="84"/>
      <c r="B129" s="613" t="s">
        <v>134</v>
      </c>
      <c r="C129" s="613"/>
      <c r="D129" s="101" t="s">
        <v>131</v>
      </c>
      <c r="E129" s="101"/>
      <c r="F129" s="101"/>
      <c r="G129" s="101">
        <f>E129*F129</f>
        <v>0</v>
      </c>
      <c r="H129" s="89"/>
      <c r="I129" s="110"/>
    </row>
    <row r="130" spans="1:9" ht="15">
      <c r="A130" s="84"/>
      <c r="B130" s="587" t="s">
        <v>135</v>
      </c>
      <c r="C130" s="588"/>
      <c r="D130" s="84"/>
      <c r="E130" s="94"/>
      <c r="F130" s="84"/>
      <c r="G130" s="85">
        <f>SUM(G123:G129)</f>
        <v>41.75811720052047</v>
      </c>
      <c r="H130" s="89"/>
      <c r="I130" s="110"/>
    </row>
    <row r="131" spans="1:9" ht="12.75">
      <c r="A131" s="104"/>
      <c r="B131" s="104"/>
      <c r="C131" s="104"/>
      <c r="D131" s="104"/>
      <c r="E131" s="104"/>
      <c r="F131" s="104"/>
      <c r="G131" s="104"/>
      <c r="H131" s="104"/>
      <c r="I131" s="104"/>
    </row>
    <row r="132" ht="15" thickBot="1">
      <c r="A132" s="76" t="s">
        <v>136</v>
      </c>
    </row>
    <row r="133" spans="1:7" ht="28.5" customHeight="1">
      <c r="A133" s="96" t="s">
        <v>37</v>
      </c>
      <c r="B133" s="105" t="s">
        <v>38</v>
      </c>
      <c r="C133" s="106"/>
      <c r="D133" s="78" t="s">
        <v>39</v>
      </c>
      <c r="E133" s="78" t="s">
        <v>207</v>
      </c>
      <c r="F133" s="78" t="s">
        <v>58</v>
      </c>
      <c r="G133" s="78" t="s">
        <v>59</v>
      </c>
    </row>
    <row r="134" spans="1:7" ht="14.25" customHeight="1">
      <c r="A134" s="84" t="s">
        <v>9</v>
      </c>
      <c r="B134" s="613" t="s">
        <v>137</v>
      </c>
      <c r="C134" s="613"/>
      <c r="D134" s="84" t="s">
        <v>138</v>
      </c>
      <c r="E134" s="101"/>
      <c r="F134" s="101"/>
      <c r="G134" s="101"/>
    </row>
    <row r="135" spans="1:7" ht="14.25" customHeight="1">
      <c r="A135" s="84" t="s">
        <v>45</v>
      </c>
      <c r="B135" s="613" t="s">
        <v>139</v>
      </c>
      <c r="C135" s="613"/>
      <c r="D135" s="622"/>
      <c r="E135" s="622"/>
      <c r="F135" s="622"/>
      <c r="G135" s="622"/>
    </row>
    <row r="136" spans="1:7" ht="14.25" customHeight="1">
      <c r="A136" s="84" t="s">
        <v>14</v>
      </c>
      <c r="B136" s="613" t="s">
        <v>140</v>
      </c>
      <c r="C136" s="613"/>
      <c r="D136" s="622"/>
      <c r="E136" s="622"/>
      <c r="F136" s="622"/>
      <c r="G136" s="622"/>
    </row>
    <row r="137" spans="1:7" ht="15" customHeight="1">
      <c r="A137" s="84" t="s">
        <v>49</v>
      </c>
      <c r="B137" s="613" t="s">
        <v>141</v>
      </c>
      <c r="C137" s="613"/>
      <c r="D137" s="84" t="s">
        <v>138</v>
      </c>
      <c r="E137" s="101"/>
      <c r="F137" s="101"/>
      <c r="G137" s="101">
        <f>E137*F137*E134</f>
        <v>0</v>
      </c>
    </row>
    <row r="138" spans="1:7" ht="15" customHeight="1">
      <c r="A138" s="84" t="s">
        <v>19</v>
      </c>
      <c r="B138" s="613" t="s">
        <v>142</v>
      </c>
      <c r="C138" s="613"/>
      <c r="D138" s="84" t="s">
        <v>138</v>
      </c>
      <c r="E138" s="101"/>
      <c r="F138" s="101"/>
      <c r="G138" s="101">
        <f>E138*F138*E134</f>
        <v>0</v>
      </c>
    </row>
    <row r="139" spans="1:7" ht="15" customHeight="1">
      <c r="A139" s="84" t="s">
        <v>54</v>
      </c>
      <c r="B139" s="613" t="s">
        <v>143</v>
      </c>
      <c r="C139" s="613"/>
      <c r="D139" s="84" t="s">
        <v>85</v>
      </c>
      <c r="E139" s="101"/>
      <c r="F139" s="101"/>
      <c r="G139" s="101">
        <f>E134*F139</f>
        <v>0</v>
      </c>
    </row>
    <row r="140" spans="1:7" ht="15" customHeight="1">
      <c r="A140" s="84" t="s">
        <v>22</v>
      </c>
      <c r="B140" s="613" t="s">
        <v>144</v>
      </c>
      <c r="C140" s="613"/>
      <c r="D140" s="84" t="s">
        <v>85</v>
      </c>
      <c r="E140" s="101"/>
      <c r="F140" s="101"/>
      <c r="G140" s="101">
        <f>E134*F140</f>
        <v>0</v>
      </c>
    </row>
    <row r="141" spans="1:7" ht="15" customHeight="1">
      <c r="A141" s="84" t="s">
        <v>72</v>
      </c>
      <c r="B141" s="613" t="s">
        <v>145</v>
      </c>
      <c r="C141" s="613"/>
      <c r="D141" s="84" t="s">
        <v>85</v>
      </c>
      <c r="E141" s="101"/>
      <c r="F141" s="101"/>
      <c r="G141" s="101">
        <f>E134*F141</f>
        <v>0</v>
      </c>
    </row>
    <row r="142" spans="1:7" ht="15" customHeight="1">
      <c r="A142" s="84" t="s">
        <v>26</v>
      </c>
      <c r="B142" s="613" t="s">
        <v>146</v>
      </c>
      <c r="C142" s="613"/>
      <c r="D142" s="84" t="s">
        <v>85</v>
      </c>
      <c r="E142" s="101"/>
      <c r="F142" s="101"/>
      <c r="G142" s="101">
        <f>F142</f>
        <v>0</v>
      </c>
    </row>
    <row r="143" spans="1:7" ht="14.25">
      <c r="A143" s="84"/>
      <c r="B143" s="587" t="s">
        <v>147</v>
      </c>
      <c r="C143" s="588"/>
      <c r="D143" s="84"/>
      <c r="E143" s="94"/>
      <c r="F143" s="84"/>
      <c r="G143" s="85">
        <f>SUM(G137:G142)</f>
        <v>0</v>
      </c>
    </row>
    <row r="144" ht="14.25">
      <c r="A144" s="67"/>
    </row>
    <row r="145" ht="14.25">
      <c r="A145" s="67"/>
    </row>
    <row r="146" ht="14.25">
      <c r="A146" s="76" t="s">
        <v>148</v>
      </c>
    </row>
    <row r="147" ht="15" thickBot="1">
      <c r="A147" s="76"/>
    </row>
    <row r="148" spans="1:7" ht="28.5" customHeight="1">
      <c r="A148" s="96" t="s">
        <v>37</v>
      </c>
      <c r="B148" s="598" t="s">
        <v>38</v>
      </c>
      <c r="C148" s="599"/>
      <c r="D148" s="77" t="s">
        <v>39</v>
      </c>
      <c r="E148" s="78" t="s">
        <v>207</v>
      </c>
      <c r="F148" s="78" t="s">
        <v>58</v>
      </c>
      <c r="G148" s="78" t="s">
        <v>59</v>
      </c>
    </row>
    <row r="149" spans="1:7" ht="14.25" customHeight="1">
      <c r="A149" s="84" t="s">
        <v>9</v>
      </c>
      <c r="B149" s="613" t="s">
        <v>149</v>
      </c>
      <c r="C149" s="613"/>
      <c r="D149" s="84" t="s">
        <v>85</v>
      </c>
      <c r="E149" s="101"/>
      <c r="F149" s="101"/>
      <c r="G149" s="101"/>
    </row>
    <row r="150" spans="1:7" ht="14.25" customHeight="1">
      <c r="A150" s="84" t="s">
        <v>45</v>
      </c>
      <c r="B150" s="613" t="s">
        <v>150</v>
      </c>
      <c r="C150" s="613"/>
      <c r="D150" s="84" t="s">
        <v>85</v>
      </c>
      <c r="E150" s="101"/>
      <c r="F150" s="101"/>
      <c r="G150" s="101"/>
    </row>
    <row r="151" spans="1:7" ht="15" customHeight="1">
      <c r="A151" s="84" t="s">
        <v>14</v>
      </c>
      <c r="B151" s="613" t="s">
        <v>212</v>
      </c>
      <c r="C151" s="613"/>
      <c r="D151" s="84" t="s">
        <v>96</v>
      </c>
      <c r="E151" s="238">
        <f>4/42</f>
        <v>0.09523809523809523</v>
      </c>
      <c r="F151" s="101">
        <v>271.78</v>
      </c>
      <c r="G151" s="103">
        <f>E151*F151</f>
        <v>25.88380952380952</v>
      </c>
    </row>
    <row r="152" spans="1:7" ht="14.25">
      <c r="A152" s="84" t="s">
        <v>49</v>
      </c>
      <c r="B152" s="613" t="s">
        <v>152</v>
      </c>
      <c r="C152" s="613"/>
      <c r="D152" s="84" t="s">
        <v>96</v>
      </c>
      <c r="E152" s="101"/>
      <c r="F152" s="101"/>
      <c r="G152" s="101">
        <f>E152*F152</f>
        <v>0</v>
      </c>
    </row>
    <row r="153" spans="1:7" ht="15" customHeight="1">
      <c r="A153" s="84" t="s">
        <v>19</v>
      </c>
      <c r="B153" s="613" t="s">
        <v>153</v>
      </c>
      <c r="C153" s="613"/>
      <c r="D153" s="84"/>
      <c r="E153" s="101"/>
      <c r="F153" s="101"/>
      <c r="G153" s="101"/>
    </row>
    <row r="154" spans="1:7" ht="15" customHeight="1">
      <c r="A154" s="84" t="s">
        <v>54</v>
      </c>
      <c r="B154" s="613" t="s">
        <v>154</v>
      </c>
      <c r="C154" s="613"/>
      <c r="D154" s="84"/>
      <c r="E154" s="101"/>
      <c r="F154" s="101"/>
      <c r="G154" s="101"/>
    </row>
    <row r="155" spans="1:7" ht="15" customHeight="1">
      <c r="A155" s="84" t="s">
        <v>22</v>
      </c>
      <c r="B155" s="613" t="s">
        <v>155</v>
      </c>
      <c r="C155" s="613"/>
      <c r="D155" s="84"/>
      <c r="E155" s="101"/>
      <c r="F155" s="101"/>
      <c r="G155" s="101"/>
    </row>
    <row r="156" spans="1:7" ht="15" customHeight="1">
      <c r="A156" s="84" t="s">
        <v>72</v>
      </c>
      <c r="B156" s="613" t="s">
        <v>156</v>
      </c>
      <c r="C156" s="613"/>
      <c r="D156" s="84"/>
      <c r="E156" s="101"/>
      <c r="F156" s="101"/>
      <c r="G156" s="101">
        <f>E156*F156</f>
        <v>0</v>
      </c>
    </row>
    <row r="157" spans="1:7" ht="16.5" customHeight="1">
      <c r="A157" s="84" t="s">
        <v>26</v>
      </c>
      <c r="B157" s="613" t="s">
        <v>306</v>
      </c>
      <c r="C157" s="613"/>
      <c r="D157" s="84" t="s">
        <v>85</v>
      </c>
      <c r="E157" s="101"/>
      <c r="F157" s="101"/>
      <c r="G157" s="101"/>
    </row>
    <row r="158" spans="1:7" ht="15" customHeight="1">
      <c r="A158" s="84"/>
      <c r="B158" s="587" t="s">
        <v>158</v>
      </c>
      <c r="C158" s="588"/>
      <c r="D158" s="84"/>
      <c r="E158" s="94"/>
      <c r="F158" s="84"/>
      <c r="G158" s="85">
        <f>SUM(G149:G157)</f>
        <v>25.88380952380952</v>
      </c>
    </row>
    <row r="159" ht="14.25">
      <c r="A159" s="67"/>
    </row>
    <row r="160" ht="14.25">
      <c r="A160" s="76" t="s">
        <v>159</v>
      </c>
    </row>
    <row r="161" ht="15" thickBot="1">
      <c r="A161" s="76"/>
    </row>
    <row r="162" spans="1:7" ht="28.5" customHeight="1">
      <c r="A162" s="623" t="s">
        <v>37</v>
      </c>
      <c r="B162" s="598" t="s">
        <v>38</v>
      </c>
      <c r="C162" s="599"/>
      <c r="D162" s="77" t="s">
        <v>39</v>
      </c>
      <c r="E162" s="78" t="s">
        <v>207</v>
      </c>
      <c r="F162" s="78" t="s">
        <v>58</v>
      </c>
      <c r="G162" s="78" t="s">
        <v>59</v>
      </c>
    </row>
    <row r="163" spans="1:7" ht="15" customHeight="1">
      <c r="A163" s="624"/>
      <c r="B163" s="600"/>
      <c r="C163" s="612"/>
      <c r="D163" s="112"/>
      <c r="E163" s="113"/>
      <c r="F163" s="113"/>
      <c r="G163" s="113"/>
    </row>
    <row r="164" spans="1:7" ht="15" customHeight="1">
      <c r="A164" s="84" t="s">
        <v>9</v>
      </c>
      <c r="B164" s="622" t="s">
        <v>160</v>
      </c>
      <c r="C164" s="622"/>
      <c r="D164" s="84" t="s">
        <v>85</v>
      </c>
      <c r="E164" s="84"/>
      <c r="F164" s="84"/>
      <c r="G164" s="84">
        <f>E164*F164</f>
        <v>0</v>
      </c>
    </row>
    <row r="165" spans="1:7" ht="15" customHeight="1">
      <c r="A165" s="84"/>
      <c r="B165" s="618"/>
      <c r="C165" s="618"/>
      <c r="D165" s="84"/>
      <c r="E165" s="84"/>
      <c r="F165" s="84"/>
      <c r="G165" s="84"/>
    </row>
    <row r="166" spans="1:7" ht="15" customHeight="1">
      <c r="A166" s="84"/>
      <c r="B166" s="587" t="s">
        <v>161</v>
      </c>
      <c r="C166" s="588"/>
      <c r="D166" s="84"/>
      <c r="E166" s="84"/>
      <c r="F166" s="84"/>
      <c r="G166" s="84">
        <f>SUM(G164:G165)</f>
        <v>0</v>
      </c>
    </row>
    <row r="167" ht="15" customHeight="1">
      <c r="A167" s="67"/>
    </row>
    <row r="168" ht="14.25">
      <c r="A168" s="76" t="s">
        <v>162</v>
      </c>
    </row>
    <row r="169" ht="15" thickBot="1">
      <c r="A169" s="76"/>
    </row>
    <row r="170" spans="1:7" ht="28.5" customHeight="1">
      <c r="A170" s="96" t="s">
        <v>37</v>
      </c>
      <c r="B170" s="598" t="s">
        <v>38</v>
      </c>
      <c r="C170" s="599"/>
      <c r="D170" s="77" t="s">
        <v>39</v>
      </c>
      <c r="E170" s="78" t="s">
        <v>207</v>
      </c>
      <c r="F170" s="78" t="s">
        <v>58</v>
      </c>
      <c r="G170" s="78" t="s">
        <v>59</v>
      </c>
    </row>
    <row r="171" spans="1:7" ht="14.25" customHeight="1">
      <c r="A171" s="84" t="s">
        <v>9</v>
      </c>
      <c r="B171" s="613" t="s">
        <v>163</v>
      </c>
      <c r="C171" s="613"/>
      <c r="D171" s="84"/>
      <c r="E171" s="84"/>
      <c r="F171" s="84"/>
      <c r="G171" s="84"/>
    </row>
    <row r="172" spans="1:7" ht="14.25" customHeight="1">
      <c r="A172" s="84"/>
      <c r="B172" s="613" t="s">
        <v>164</v>
      </c>
      <c r="C172" s="613"/>
      <c r="D172" s="84" t="s">
        <v>165</v>
      </c>
      <c r="E172" s="101"/>
      <c r="F172" s="101"/>
      <c r="G172" s="101"/>
    </row>
    <row r="173" spans="1:7" ht="14.25" customHeight="1">
      <c r="A173" s="84"/>
      <c r="B173" s="613" t="s">
        <v>167</v>
      </c>
      <c r="C173" s="613"/>
      <c r="D173" s="84" t="s">
        <v>165</v>
      </c>
      <c r="E173" s="101"/>
      <c r="F173" s="101"/>
      <c r="G173" s="101"/>
    </row>
    <row r="174" spans="1:7" ht="14.25" customHeight="1">
      <c r="A174" s="84"/>
      <c r="B174" s="613" t="s">
        <v>168</v>
      </c>
      <c r="C174" s="613"/>
      <c r="D174" s="84" t="s">
        <v>165</v>
      </c>
      <c r="E174" s="101" t="s">
        <v>570</v>
      </c>
      <c r="F174" s="101">
        <v>49</v>
      </c>
      <c r="G174" s="101">
        <f>12*F174</f>
        <v>588</v>
      </c>
    </row>
    <row r="175" spans="1:7" ht="29.25" customHeight="1">
      <c r="A175" s="84" t="s">
        <v>45</v>
      </c>
      <c r="B175" s="613" t="s">
        <v>170</v>
      </c>
      <c r="C175" s="613"/>
      <c r="D175" s="84" t="s">
        <v>165</v>
      </c>
      <c r="E175" s="101"/>
      <c r="F175" s="101"/>
      <c r="G175" s="101">
        <f>E175*F175</f>
        <v>0</v>
      </c>
    </row>
    <row r="176" spans="1:7" ht="15" customHeight="1">
      <c r="A176" s="84" t="s">
        <v>14</v>
      </c>
      <c r="B176" s="613" t="s">
        <v>171</v>
      </c>
      <c r="C176" s="613"/>
      <c r="D176" s="84" t="s">
        <v>85</v>
      </c>
      <c r="E176" s="101"/>
      <c r="F176" s="101"/>
      <c r="G176" s="101">
        <f>E176*F176</f>
        <v>0</v>
      </c>
    </row>
    <row r="177" spans="1:9" ht="15" customHeight="1">
      <c r="A177" s="84" t="s">
        <v>49</v>
      </c>
      <c r="B177" s="613" t="s">
        <v>172</v>
      </c>
      <c r="C177" s="613"/>
      <c r="D177" s="84" t="s">
        <v>91</v>
      </c>
      <c r="E177" s="101"/>
      <c r="F177" s="44"/>
      <c r="G177" s="156"/>
      <c r="H177" s="119"/>
      <c r="I177" s="119"/>
    </row>
    <row r="178" spans="1:7" ht="15" customHeight="1">
      <c r="A178" s="84" t="s">
        <v>19</v>
      </c>
      <c r="B178" s="613" t="s">
        <v>174</v>
      </c>
      <c r="C178" s="613"/>
      <c r="D178" s="84" t="s">
        <v>43</v>
      </c>
      <c r="E178" s="101"/>
      <c r="F178" s="107"/>
      <c r="G178" s="103"/>
    </row>
    <row r="179" spans="1:7" ht="14.25" customHeight="1">
      <c r="A179" s="84" t="s">
        <v>54</v>
      </c>
      <c r="B179" s="613" t="s">
        <v>175</v>
      </c>
      <c r="C179" s="613"/>
      <c r="D179" s="84" t="s">
        <v>43</v>
      </c>
      <c r="E179" s="235"/>
      <c r="F179" s="107"/>
      <c r="G179" s="103"/>
    </row>
    <row r="180" spans="1:7" ht="14.25" customHeight="1">
      <c r="A180" s="84" t="s">
        <v>22</v>
      </c>
      <c r="B180" s="613" t="s">
        <v>176</v>
      </c>
      <c r="C180" s="613"/>
      <c r="D180" s="84" t="s">
        <v>43</v>
      </c>
      <c r="E180" s="101"/>
      <c r="F180" s="101"/>
      <c r="G180" s="101">
        <f>E180*F180</f>
        <v>0</v>
      </c>
    </row>
    <row r="181" spans="1:7" ht="15" customHeight="1">
      <c r="A181" s="84" t="s">
        <v>72</v>
      </c>
      <c r="B181" s="613" t="s">
        <v>209</v>
      </c>
      <c r="C181" s="613"/>
      <c r="D181" s="84" t="s">
        <v>85</v>
      </c>
      <c r="E181" s="101"/>
      <c r="F181" s="101"/>
      <c r="G181" s="101">
        <f>E181*F181</f>
        <v>0</v>
      </c>
    </row>
    <row r="182" spans="1:7" ht="15" customHeight="1">
      <c r="A182" s="84"/>
      <c r="B182" s="587" t="s">
        <v>177</v>
      </c>
      <c r="C182" s="588"/>
      <c r="D182" s="84"/>
      <c r="E182" s="84"/>
      <c r="F182" s="84"/>
      <c r="G182" s="85">
        <f>SUM(G172:G181)</f>
        <v>588</v>
      </c>
    </row>
    <row r="183" ht="13.5" customHeight="1">
      <c r="A183" s="67"/>
    </row>
    <row r="184" ht="14.25">
      <c r="A184" s="76" t="s">
        <v>178</v>
      </c>
    </row>
    <row r="185" ht="15" thickBot="1">
      <c r="A185" s="76"/>
    </row>
    <row r="186" spans="1:7" ht="28.5" customHeight="1">
      <c r="A186" s="96" t="s">
        <v>37</v>
      </c>
      <c r="B186" s="598" t="s">
        <v>38</v>
      </c>
      <c r="C186" s="599"/>
      <c r="D186" s="77" t="s">
        <v>39</v>
      </c>
      <c r="E186" s="78" t="s">
        <v>207</v>
      </c>
      <c r="F186" s="78" t="s">
        <v>58</v>
      </c>
      <c r="G186" s="78" t="s">
        <v>59</v>
      </c>
    </row>
    <row r="187" spans="1:7" ht="15" customHeight="1">
      <c r="A187" s="84" t="s">
        <v>9</v>
      </c>
      <c r="B187" s="613" t="s">
        <v>179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 t="s">
        <v>45</v>
      </c>
      <c r="B188" s="613" t="s">
        <v>181</v>
      </c>
      <c r="C188" s="613"/>
      <c r="D188" s="84" t="s">
        <v>180</v>
      </c>
      <c r="E188" s="101"/>
      <c r="F188" s="101"/>
      <c r="G188" s="101">
        <f>E188*F188</f>
        <v>0</v>
      </c>
    </row>
    <row r="189" spans="1:7" ht="15" customHeight="1">
      <c r="A189" s="84" t="s">
        <v>14</v>
      </c>
      <c r="B189" s="613" t="s">
        <v>182</v>
      </c>
      <c r="C189" s="613"/>
      <c r="D189" s="84" t="s">
        <v>180</v>
      </c>
      <c r="E189" s="101"/>
      <c r="F189" s="101"/>
      <c r="G189" s="101">
        <f>E189*F189</f>
        <v>0</v>
      </c>
    </row>
    <row r="190" spans="1:7" ht="15" customHeight="1">
      <c r="A190" s="84"/>
      <c r="B190" s="587" t="s">
        <v>183</v>
      </c>
      <c r="C190" s="588"/>
      <c r="D190" s="84"/>
      <c r="E190" s="84"/>
      <c r="F190" s="84"/>
      <c r="G190" s="85">
        <f>SUM(G187:G189)</f>
        <v>0</v>
      </c>
    </row>
    <row r="191" ht="14.25">
      <c r="A191" s="67"/>
    </row>
    <row r="192" ht="14.25">
      <c r="A192" s="67"/>
    </row>
    <row r="193" ht="14.25">
      <c r="A193" s="67" t="s">
        <v>184</v>
      </c>
    </row>
    <row r="194" ht="15" thickBot="1">
      <c r="A194" s="67"/>
    </row>
    <row r="195" spans="1:7" ht="28.5" customHeight="1">
      <c r="A195" s="96" t="s">
        <v>37</v>
      </c>
      <c r="B195" s="598" t="s">
        <v>38</v>
      </c>
      <c r="C195" s="599"/>
      <c r="D195" s="77" t="s">
        <v>39</v>
      </c>
      <c r="E195" s="78" t="s">
        <v>210</v>
      </c>
      <c r="F195" s="78" t="s">
        <v>58</v>
      </c>
      <c r="G195" s="78" t="s">
        <v>59</v>
      </c>
    </row>
    <row r="196" spans="1:7" ht="15" customHeight="1">
      <c r="A196" s="84" t="s">
        <v>9</v>
      </c>
      <c r="B196" s="613" t="s">
        <v>185</v>
      </c>
      <c r="C196" s="613"/>
      <c r="D196" s="84" t="s">
        <v>85</v>
      </c>
      <c r="E196" s="101">
        <v>1</v>
      </c>
      <c r="F196" s="101">
        <v>32.6</v>
      </c>
      <c r="G196" s="103">
        <f>E196*F196</f>
        <v>32.6</v>
      </c>
    </row>
    <row r="197" spans="1:7" ht="14.25" customHeight="1">
      <c r="A197" s="84" t="s">
        <v>45</v>
      </c>
      <c r="B197" s="613" t="s">
        <v>186</v>
      </c>
      <c r="C197" s="613"/>
      <c r="D197" s="84" t="s">
        <v>85</v>
      </c>
      <c r="E197" s="114"/>
      <c r="F197" s="44">
        <f>(1151.55+210.41+5.7+145.58)*1.2</f>
        <v>1815.888</v>
      </c>
      <c r="G197" s="103">
        <f>F197*E196</f>
        <v>1815.888</v>
      </c>
    </row>
    <row r="198" spans="1:7" ht="14.25" customHeight="1">
      <c r="A198" s="84" t="s">
        <v>14</v>
      </c>
      <c r="B198" s="613" t="s">
        <v>187</v>
      </c>
      <c r="C198" s="613"/>
      <c r="D198" s="84" t="s">
        <v>85</v>
      </c>
      <c r="E198" s="114"/>
      <c r="F198" s="114"/>
      <c r="G198" s="114"/>
    </row>
    <row r="199" spans="1:7" ht="14.25">
      <c r="A199" s="84" t="s">
        <v>49</v>
      </c>
      <c r="B199" s="613" t="s">
        <v>188</v>
      </c>
      <c r="C199" s="613"/>
      <c r="D199" s="84" t="s">
        <v>85</v>
      </c>
      <c r="E199" s="114"/>
      <c r="F199" s="114"/>
      <c r="G199" s="114"/>
    </row>
    <row r="200" spans="1:7" ht="15" customHeight="1">
      <c r="A200" s="84" t="s">
        <v>19</v>
      </c>
      <c r="B200" s="613" t="s">
        <v>189</v>
      </c>
      <c r="C200" s="613"/>
      <c r="D200" s="84" t="s">
        <v>85</v>
      </c>
      <c r="E200" s="114"/>
      <c r="F200" s="114"/>
      <c r="G200" s="114"/>
    </row>
    <row r="201" spans="1:10" ht="15" customHeight="1">
      <c r="A201" s="84" t="s">
        <v>54</v>
      </c>
      <c r="B201" s="613" t="s">
        <v>190</v>
      </c>
      <c r="C201" s="613"/>
      <c r="D201" s="84" t="s">
        <v>101</v>
      </c>
      <c r="E201" s="241">
        <f>J201/F201</f>
        <v>36.14965006701</v>
      </c>
      <c r="F201" s="43">
        <v>1.68</v>
      </c>
      <c r="G201" s="240">
        <f>E201*F201</f>
        <v>60.7314121125768</v>
      </c>
      <c r="H201" s="54"/>
      <c r="I201" s="448">
        <f>1288300*0.4/8485.23</f>
        <v>60.7314121125768</v>
      </c>
      <c r="J201" s="448">
        <f>I201*E196</f>
        <v>60.7314121125768</v>
      </c>
    </row>
    <row r="202" spans="1:10" ht="15" customHeight="1">
      <c r="A202" s="84" t="s">
        <v>22</v>
      </c>
      <c r="B202" s="613" t="s">
        <v>191</v>
      </c>
      <c r="C202" s="613"/>
      <c r="D202" s="84" t="s">
        <v>192</v>
      </c>
      <c r="E202" s="446">
        <f>J202/F202</f>
        <v>0.20116605241079735</v>
      </c>
      <c r="F202" s="43">
        <f>987*1.2</f>
        <v>1184.3999999999999</v>
      </c>
      <c r="G202" s="240">
        <f>E202*F202</f>
        <v>238.26107247534836</v>
      </c>
      <c r="H202" s="54"/>
      <c r="I202" s="448">
        <f>2021700/8485.23</f>
        <v>238.26107247534836</v>
      </c>
      <c r="J202" s="448">
        <f>I202*E196</f>
        <v>238.26107247534836</v>
      </c>
    </row>
    <row r="203" spans="1:10" ht="15" customHeight="1">
      <c r="A203" s="84" t="s">
        <v>72</v>
      </c>
      <c r="B203" s="613" t="s">
        <v>193</v>
      </c>
      <c r="C203" s="613"/>
      <c r="D203" s="84" t="s">
        <v>85</v>
      </c>
      <c r="E203" s="447"/>
      <c r="F203" s="241">
        <f>(229000+16300)/8485.23</f>
        <v>28.909057267746427</v>
      </c>
      <c r="G203" s="240">
        <f>F203*E196</f>
        <v>28.909057267746427</v>
      </c>
      <c r="H203" s="54"/>
      <c r="I203" s="54"/>
      <c r="J203" s="54"/>
    </row>
    <row r="204" spans="1:10" ht="14.25" customHeight="1">
      <c r="A204" s="84" t="s">
        <v>26</v>
      </c>
      <c r="B204" s="613" t="s">
        <v>194</v>
      </c>
      <c r="C204" s="613"/>
      <c r="D204" s="84" t="s">
        <v>85</v>
      </c>
      <c r="E204" s="447"/>
      <c r="F204" s="43">
        <v>2693.4</v>
      </c>
      <c r="G204" s="240">
        <f>F204*E196</f>
        <v>2693.4</v>
      </c>
      <c r="H204" s="54"/>
      <c r="I204" s="54"/>
      <c r="J204" s="54"/>
    </row>
    <row r="205" spans="1:10" ht="15" customHeight="1">
      <c r="A205" s="84" t="s">
        <v>31</v>
      </c>
      <c r="B205" s="613" t="s">
        <v>195</v>
      </c>
      <c r="C205" s="613"/>
      <c r="D205" s="84" t="s">
        <v>85</v>
      </c>
      <c r="E205" s="447"/>
      <c r="F205" s="43">
        <v>300.6</v>
      </c>
      <c r="G205" s="240">
        <f>F205*E196</f>
        <v>300.6</v>
      </c>
      <c r="H205" s="54"/>
      <c r="I205" s="54"/>
      <c r="J205" s="54"/>
    </row>
    <row r="206" spans="1:10" ht="15" customHeight="1">
      <c r="A206" s="84" t="s">
        <v>79</v>
      </c>
      <c r="B206" s="613" t="s">
        <v>196</v>
      </c>
      <c r="C206" s="613"/>
      <c r="D206" s="84" t="s">
        <v>85</v>
      </c>
      <c r="E206" s="447"/>
      <c r="F206" s="43">
        <v>1242.8</v>
      </c>
      <c r="G206" s="240">
        <f>F206*E196</f>
        <v>1242.8</v>
      </c>
      <c r="H206" s="54"/>
      <c r="I206" s="54"/>
      <c r="J206" s="54"/>
    </row>
    <row r="207" ht="14.25">
      <c r="A207" s="67"/>
    </row>
    <row r="208" ht="14.25">
      <c r="A208" s="67" t="s">
        <v>197</v>
      </c>
    </row>
    <row r="209" ht="15" thickBot="1">
      <c r="A209" s="76"/>
    </row>
    <row r="210" spans="1:7" ht="14.25" customHeight="1">
      <c r="A210" s="623" t="s">
        <v>37</v>
      </c>
      <c r="B210" s="598" t="s">
        <v>38</v>
      </c>
      <c r="C210" s="599"/>
      <c r="D210" s="77" t="s">
        <v>198</v>
      </c>
      <c r="E210" s="598" t="s">
        <v>59</v>
      </c>
      <c r="F210" s="616"/>
      <c r="G210" s="599"/>
    </row>
    <row r="211" spans="1:7" ht="14.25">
      <c r="A211" s="624"/>
      <c r="B211" s="600"/>
      <c r="C211" s="612"/>
      <c r="D211" s="112" t="s">
        <v>199</v>
      </c>
      <c r="E211" s="600"/>
      <c r="F211" s="617"/>
      <c r="G211" s="612"/>
    </row>
    <row r="212" spans="1:7" ht="15" customHeight="1">
      <c r="A212" s="84" t="s">
        <v>9</v>
      </c>
      <c r="B212" s="613" t="s">
        <v>200</v>
      </c>
      <c r="C212" s="613"/>
      <c r="D212" s="84" t="s">
        <v>85</v>
      </c>
      <c r="E212" s="614">
        <f>G44+G59+G63+G64+G97+G118+G130+G143+G158+G166+G182+G190</f>
        <v>11880.052624558177</v>
      </c>
      <c r="F212" s="615"/>
      <c r="G212" s="615"/>
    </row>
    <row r="213" spans="1:7" ht="15" customHeight="1">
      <c r="A213" s="84" t="s">
        <v>45</v>
      </c>
      <c r="B213" s="613" t="s">
        <v>201</v>
      </c>
      <c r="C213" s="613"/>
      <c r="D213" s="84" t="s">
        <v>85</v>
      </c>
      <c r="E213" s="614">
        <f>SUM(G196:G206)</f>
        <v>6413.189541855672</v>
      </c>
      <c r="F213" s="614"/>
      <c r="G213" s="614"/>
    </row>
    <row r="214" spans="1:7" ht="14.25">
      <c r="A214" s="84" t="s">
        <v>14</v>
      </c>
      <c r="B214" s="613" t="s">
        <v>202</v>
      </c>
      <c r="C214" s="613"/>
      <c r="D214" s="84" t="s">
        <v>85</v>
      </c>
      <c r="E214" s="614">
        <f>E212+E213</f>
        <v>18293.24216641385</v>
      </c>
      <c r="F214" s="614"/>
      <c r="G214" s="614"/>
    </row>
    <row r="215" spans="1:7" ht="15" customHeight="1">
      <c r="A215" s="84">
        <v>4</v>
      </c>
      <c r="B215" s="613" t="s">
        <v>203</v>
      </c>
      <c r="C215" s="613"/>
      <c r="D215" s="84" t="s">
        <v>85</v>
      </c>
      <c r="E215" s="611"/>
      <c r="F215" s="611"/>
      <c r="G215" s="611"/>
    </row>
    <row r="216" spans="1:7" ht="15" customHeight="1">
      <c r="A216" s="84" t="s">
        <v>19</v>
      </c>
      <c r="B216" s="613" t="s">
        <v>204</v>
      </c>
      <c r="C216" s="613"/>
      <c r="D216" s="84" t="s">
        <v>85</v>
      </c>
      <c r="E216" s="611">
        <f>E214-E215</f>
        <v>18293.24216641385</v>
      </c>
      <c r="F216" s="611"/>
      <c r="G216" s="611"/>
    </row>
    <row r="217" ht="14.25">
      <c r="A217" s="95"/>
    </row>
    <row r="218" ht="14.25">
      <c r="A218" s="95"/>
    </row>
    <row r="219" spans="2:3" ht="14.25">
      <c r="B219" s="116" t="s">
        <v>63</v>
      </c>
      <c r="C219" s="117"/>
    </row>
    <row r="220" ht="14.25">
      <c r="A220" s="95"/>
    </row>
    <row r="221" ht="14.25">
      <c r="B221" s="116" t="s">
        <v>206</v>
      </c>
    </row>
  </sheetData>
  <sheetProtection/>
  <mergeCells count="165">
    <mergeCell ref="A7:G7"/>
    <mergeCell ref="A8:G8"/>
    <mergeCell ref="A9:G9"/>
    <mergeCell ref="B27:G27"/>
    <mergeCell ref="D24:E24"/>
    <mergeCell ref="F16:G16"/>
    <mergeCell ref="F18:G18"/>
    <mergeCell ref="B67:C67"/>
    <mergeCell ref="B62:C62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16:G216"/>
    <mergeCell ref="B210:C211"/>
    <mergeCell ref="B212:C212"/>
    <mergeCell ref="B213:C213"/>
    <mergeCell ref="B214:C214"/>
    <mergeCell ref="B215:C215"/>
    <mergeCell ref="B216:C216"/>
    <mergeCell ref="E212:G212"/>
    <mergeCell ref="E213:G213"/>
    <mergeCell ref="E214:G214"/>
    <mergeCell ref="B203:C203"/>
    <mergeCell ref="E215:G215"/>
    <mergeCell ref="B204:C204"/>
    <mergeCell ref="B205:C205"/>
    <mergeCell ref="B206:C206"/>
    <mergeCell ref="E210:G211"/>
    <mergeCell ref="B197:C197"/>
    <mergeCell ref="B198:C198"/>
    <mergeCell ref="B199:C199"/>
    <mergeCell ref="B200:C200"/>
    <mergeCell ref="B201:C201"/>
    <mergeCell ref="B202:C202"/>
    <mergeCell ref="B165:C165"/>
    <mergeCell ref="B166:C166"/>
    <mergeCell ref="B170:C170"/>
    <mergeCell ref="B172:C172"/>
    <mergeCell ref="B186:C186"/>
    <mergeCell ref="B195:C195"/>
    <mergeCell ref="B190:C190"/>
    <mergeCell ref="B179:C179"/>
    <mergeCell ref="B182:C182"/>
    <mergeCell ref="B180:C180"/>
    <mergeCell ref="B181:C181"/>
    <mergeCell ref="B187:C187"/>
    <mergeCell ref="B188:C188"/>
    <mergeCell ref="B196:C196"/>
    <mergeCell ref="B174:C174"/>
    <mergeCell ref="B189:C189"/>
    <mergeCell ref="B158:C158"/>
    <mergeCell ref="B157:C157"/>
    <mergeCell ref="B156:C156"/>
    <mergeCell ref="B173:C173"/>
    <mergeCell ref="B176:C176"/>
    <mergeCell ref="B177:C177"/>
    <mergeCell ref="B178:C178"/>
    <mergeCell ref="B175:C175"/>
    <mergeCell ref="B171:C171"/>
    <mergeCell ref="B97:C97"/>
    <mergeCell ref="B89:C89"/>
    <mergeCell ref="B90:C90"/>
    <mergeCell ref="B149:C149"/>
    <mergeCell ref="B148:C148"/>
    <mergeCell ref="B139:C139"/>
    <mergeCell ref="B142:C142"/>
    <mergeCell ref="B118:C118"/>
    <mergeCell ref="B130:C130"/>
    <mergeCell ref="B74:C74"/>
    <mergeCell ref="B75:C75"/>
    <mergeCell ref="B76:C76"/>
    <mergeCell ref="B77:C77"/>
    <mergeCell ref="B78:C78"/>
    <mergeCell ref="B91:C91"/>
    <mergeCell ref="B155:C155"/>
    <mergeCell ref="A82:C82"/>
    <mergeCell ref="A83:C83"/>
    <mergeCell ref="B154:C154"/>
    <mergeCell ref="B153:C153"/>
    <mergeCell ref="B150:C150"/>
    <mergeCell ref="B151:C151"/>
    <mergeCell ref="B152:C152"/>
    <mergeCell ref="B94:C94"/>
    <mergeCell ref="B143:C143"/>
    <mergeCell ref="D136:G136"/>
    <mergeCell ref="B86:C86"/>
    <mergeCell ref="B84:C84"/>
    <mergeCell ref="B85:C85"/>
    <mergeCell ref="A87:C87"/>
    <mergeCell ref="A88:C88"/>
    <mergeCell ref="A93:C93"/>
    <mergeCell ref="B105:C105"/>
    <mergeCell ref="B106:C106"/>
    <mergeCell ref="B96:C96"/>
    <mergeCell ref="A47:A48"/>
    <mergeCell ref="D135:G135"/>
    <mergeCell ref="F47:F48"/>
    <mergeCell ref="G47:G48"/>
    <mergeCell ref="B80:C80"/>
    <mergeCell ref="B81:C81"/>
    <mergeCell ref="B70:C70"/>
    <mergeCell ref="B71:C71"/>
    <mergeCell ref="A69:C69"/>
    <mergeCell ref="A68:C68"/>
    <mergeCell ref="A210:A211"/>
    <mergeCell ref="B124:C124"/>
    <mergeCell ref="B125:C125"/>
    <mergeCell ref="B126:C126"/>
    <mergeCell ref="B127:C127"/>
    <mergeCell ref="B128:C128"/>
    <mergeCell ref="B141:C141"/>
    <mergeCell ref="A162:A163"/>
    <mergeCell ref="B162:C163"/>
    <mergeCell ref="B164:C164"/>
    <mergeCell ref="A33:A34"/>
    <mergeCell ref="B44:C44"/>
    <mergeCell ref="B63:C63"/>
    <mergeCell ref="B64:C64"/>
    <mergeCell ref="A40:A43"/>
    <mergeCell ref="B36:C36"/>
    <mergeCell ref="B37:C37"/>
    <mergeCell ref="B38:C38"/>
    <mergeCell ref="B39:C39"/>
    <mergeCell ref="B40:C40"/>
    <mergeCell ref="B72:C72"/>
    <mergeCell ref="B73:C73"/>
    <mergeCell ref="B79:C79"/>
    <mergeCell ref="B110:C110"/>
    <mergeCell ref="B95:C95"/>
    <mergeCell ref="B102:C102"/>
    <mergeCell ref="B103:C103"/>
    <mergeCell ref="B104:C104"/>
    <mergeCell ref="B101:C101"/>
    <mergeCell ref="B107:C107"/>
    <mergeCell ref="B114:C114"/>
    <mergeCell ref="B115:C115"/>
    <mergeCell ref="B116:C116"/>
    <mergeCell ref="B117:C117"/>
    <mergeCell ref="B108:C108"/>
    <mergeCell ref="B109:C109"/>
    <mergeCell ref="B112:C112"/>
    <mergeCell ref="B113:C113"/>
    <mergeCell ref="B111:C111"/>
    <mergeCell ref="B137:C137"/>
    <mergeCell ref="B138:C138"/>
    <mergeCell ref="B140:C140"/>
    <mergeCell ref="B123:C123"/>
    <mergeCell ref="B134:C134"/>
    <mergeCell ref="B135:C135"/>
    <mergeCell ref="B136:C136"/>
    <mergeCell ref="B129:C129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2"/>
  <sheetViews>
    <sheetView zoomScalePageLayoutView="0" workbookViewId="0" topLeftCell="A197">
      <selection activeCell="F199" sqref="F199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357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358</v>
      </c>
      <c r="D16" s="668" t="s">
        <v>17</v>
      </c>
      <c r="E16" s="669"/>
      <c r="F16" s="668" t="s">
        <v>218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11</v>
      </c>
      <c r="D18" s="668" t="s">
        <v>21</v>
      </c>
      <c r="E18" s="669"/>
      <c r="F18" s="668" t="s">
        <v>436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388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28</v>
      </c>
      <c r="D22" s="251" t="s">
        <v>29</v>
      </c>
      <c r="E22" s="252" t="s">
        <v>390</v>
      </c>
      <c r="F22" s="676" t="s">
        <v>30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437</v>
      </c>
      <c r="D24" s="672"/>
      <c r="E24" s="672"/>
      <c r="F24" s="672"/>
      <c r="G24" s="673"/>
    </row>
    <row r="25" spans="1:7" ht="14.25">
      <c r="A25" s="253"/>
      <c r="B25" s="670"/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7" ht="15" customHeight="1">
      <c r="A34" s="260" t="s">
        <v>9</v>
      </c>
      <c r="B34" s="633" t="s">
        <v>438</v>
      </c>
      <c r="C34" s="633"/>
      <c r="D34" s="260" t="s">
        <v>43</v>
      </c>
      <c r="E34" s="261" t="s">
        <v>240</v>
      </c>
      <c r="F34" s="262">
        <f>F50/11</f>
        <v>3.5982008995502253</v>
      </c>
      <c r="G34" s="263">
        <f aca="true" t="shared" si="0" ref="G34:G41">E34*F34</f>
        <v>28.785607196401802</v>
      </c>
    </row>
    <row r="35" spans="1:7" ht="15" customHeight="1">
      <c r="A35" s="260" t="s">
        <v>45</v>
      </c>
      <c r="B35" s="633" t="s">
        <v>439</v>
      </c>
      <c r="C35" s="633"/>
      <c r="D35" s="260" t="s">
        <v>43</v>
      </c>
      <c r="E35" s="261" t="s">
        <v>364</v>
      </c>
      <c r="F35" s="262">
        <f>F50/11</f>
        <v>3.5982008995502253</v>
      </c>
      <c r="G35" s="263">
        <f t="shared" si="0"/>
        <v>57.571214392803604</v>
      </c>
    </row>
    <row r="36" spans="1:7" ht="15" customHeight="1">
      <c r="A36" s="260" t="s">
        <v>14</v>
      </c>
      <c r="B36" s="633" t="s">
        <v>440</v>
      </c>
      <c r="C36" s="633"/>
      <c r="D36" s="260" t="s">
        <v>43</v>
      </c>
      <c r="E36" s="261" t="s">
        <v>353</v>
      </c>
      <c r="F36" s="262">
        <f>F50/11</f>
        <v>3.5982008995502253</v>
      </c>
      <c r="G36" s="263">
        <f t="shared" si="0"/>
        <v>7.1964017991004505</v>
      </c>
    </row>
    <row r="37" spans="1:7" ht="15" customHeight="1">
      <c r="A37" s="260" t="s">
        <v>49</v>
      </c>
      <c r="B37" s="633" t="s">
        <v>441</v>
      </c>
      <c r="C37" s="633"/>
      <c r="D37" s="260" t="s">
        <v>43</v>
      </c>
      <c r="E37" s="261" t="s">
        <v>242</v>
      </c>
      <c r="F37" s="262">
        <f>F50/11</f>
        <v>3.5982008995502253</v>
      </c>
      <c r="G37" s="263">
        <f t="shared" si="0"/>
        <v>10.794602698650676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 t="shared" si="0"/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 t="shared" si="0"/>
        <v>0</v>
      </c>
    </row>
    <row r="40" spans="1:7" ht="15.75" customHeight="1">
      <c r="A40" s="639"/>
      <c r="B40" s="664"/>
      <c r="C40" s="665"/>
      <c r="D40" s="264"/>
      <c r="E40" s="269"/>
      <c r="F40" s="266"/>
      <c r="G40" s="263">
        <f t="shared" si="0"/>
        <v>0</v>
      </c>
    </row>
    <row r="41" spans="1:7" ht="14.25">
      <c r="A41" s="639"/>
      <c r="B41" s="270"/>
      <c r="C41" s="271"/>
      <c r="D41" s="264"/>
      <c r="E41" s="272"/>
      <c r="F41" s="266"/>
      <c r="G41" s="273">
        <f t="shared" si="0"/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104.34782608695654</v>
      </c>
    </row>
    <row r="43" ht="14.25">
      <c r="A43" s="254"/>
    </row>
    <row r="44" ht="14.25">
      <c r="A44" s="254"/>
    </row>
    <row r="45" ht="14.25">
      <c r="A45" s="254"/>
    </row>
    <row r="46" ht="15" thickBot="1">
      <c r="A46" s="254" t="s">
        <v>56</v>
      </c>
    </row>
    <row r="47" spans="1:7" ht="27.75" customHeight="1" thickBot="1">
      <c r="A47" s="637" t="s">
        <v>37</v>
      </c>
      <c r="B47" s="652" t="s">
        <v>57</v>
      </c>
      <c r="C47" s="666"/>
      <c r="D47" s="642" t="s">
        <v>39</v>
      </c>
      <c r="E47" s="642" t="s">
        <v>207</v>
      </c>
      <c r="F47" s="637" t="s">
        <v>58</v>
      </c>
      <c r="G47" s="643" t="s">
        <v>59</v>
      </c>
    </row>
    <row r="48" spans="1:7" ht="15" customHeight="1" thickBot="1">
      <c r="A48" s="638"/>
      <c r="B48" s="274" t="s">
        <v>60</v>
      </c>
      <c r="C48" s="275" t="s">
        <v>61</v>
      </c>
      <c r="D48" s="644"/>
      <c r="E48" s="644"/>
      <c r="F48" s="638"/>
      <c r="G48" s="645"/>
    </row>
    <row r="49" spans="1:7" ht="14.25" customHeight="1">
      <c r="A49" s="272">
        <v>1</v>
      </c>
      <c r="B49" s="326" t="s">
        <v>62</v>
      </c>
      <c r="C49" s="276" t="s">
        <v>258</v>
      </c>
      <c r="D49" s="272" t="s">
        <v>43</v>
      </c>
      <c r="E49" s="272">
        <v>2</v>
      </c>
      <c r="F49" s="86">
        <f>6600*12/2001</f>
        <v>39.58020989505248</v>
      </c>
      <c r="G49" s="281">
        <f aca="true" t="shared" si="1" ref="G49:G55">E49*F49</f>
        <v>79.16041979010495</v>
      </c>
    </row>
    <row r="50" spans="1:7" ht="15" customHeight="1">
      <c r="A50" s="260">
        <v>2</v>
      </c>
      <c r="B50" s="276" t="s">
        <v>63</v>
      </c>
      <c r="C50" s="276" t="s">
        <v>258</v>
      </c>
      <c r="D50" s="260" t="s">
        <v>43</v>
      </c>
      <c r="E50" s="261" t="s">
        <v>442</v>
      </c>
      <c r="F50" s="86">
        <f>6600*12/2001</f>
        <v>39.58020989505248</v>
      </c>
      <c r="G50" s="263">
        <f t="shared" si="1"/>
        <v>1424.887556221889</v>
      </c>
    </row>
    <row r="51" spans="1:9" ht="15" customHeight="1">
      <c r="A51" s="260">
        <v>3</v>
      </c>
      <c r="B51" s="276" t="s">
        <v>67</v>
      </c>
      <c r="C51" s="276" t="s">
        <v>395</v>
      </c>
      <c r="D51" s="260" t="s">
        <v>43</v>
      </c>
      <c r="E51" s="261" t="s">
        <v>240</v>
      </c>
      <c r="F51" s="315">
        <f>4386*12/2001</f>
        <v>26.302848575712144</v>
      </c>
      <c r="G51" s="316">
        <f>E51*F51</f>
        <v>210.42278860569715</v>
      </c>
      <c r="H51" s="317"/>
      <c r="I51" s="440" t="s">
        <v>537</v>
      </c>
    </row>
    <row r="52" spans="1:7" ht="15" customHeight="1">
      <c r="A52" s="260">
        <v>4</v>
      </c>
      <c r="B52" s="276" t="s">
        <v>70</v>
      </c>
      <c r="C52" s="276" t="s">
        <v>346</v>
      </c>
      <c r="D52" s="260" t="s">
        <v>43</v>
      </c>
      <c r="E52" s="261" t="s">
        <v>442</v>
      </c>
      <c r="F52" s="262">
        <f>4650*12/2001</f>
        <v>27.886056971514243</v>
      </c>
      <c r="G52" s="263">
        <f t="shared" si="1"/>
        <v>1003.8980509745128</v>
      </c>
    </row>
    <row r="53" spans="1:7" ht="15" customHeight="1">
      <c r="A53" s="260">
        <v>5</v>
      </c>
      <c r="B53" s="276" t="s">
        <v>73</v>
      </c>
      <c r="C53" s="276" t="s">
        <v>347</v>
      </c>
      <c r="D53" s="260" t="s">
        <v>43</v>
      </c>
      <c r="E53" s="261" t="s">
        <v>353</v>
      </c>
      <c r="F53" s="262">
        <f>4220*12/2001</f>
        <v>25.307346326836583</v>
      </c>
      <c r="G53" s="263">
        <f t="shared" si="1"/>
        <v>50.61469265367317</v>
      </c>
    </row>
    <row r="54" spans="1:9" ht="15" customHeight="1">
      <c r="A54" s="260">
        <v>6</v>
      </c>
      <c r="B54" s="276" t="s">
        <v>263</v>
      </c>
      <c r="C54" s="276" t="s">
        <v>395</v>
      </c>
      <c r="D54" s="260" t="s">
        <v>43</v>
      </c>
      <c r="E54" s="261" t="s">
        <v>240</v>
      </c>
      <c r="F54" s="315">
        <f>3061*12/2001</f>
        <v>18.356821589205396</v>
      </c>
      <c r="G54" s="316">
        <f t="shared" si="1"/>
        <v>146.85457271364317</v>
      </c>
      <c r="H54" s="317"/>
      <c r="I54" s="234" t="s">
        <v>411</v>
      </c>
    </row>
    <row r="55" spans="1:9" ht="15" customHeight="1">
      <c r="A55" s="260">
        <v>7</v>
      </c>
      <c r="B55" s="276" t="s">
        <v>425</v>
      </c>
      <c r="C55" s="276" t="s">
        <v>395</v>
      </c>
      <c r="D55" s="260" t="s">
        <v>43</v>
      </c>
      <c r="E55" s="261" t="s">
        <v>312</v>
      </c>
      <c r="F55" s="315">
        <f>3894*12/2001</f>
        <v>23.35232383808096</v>
      </c>
      <c r="G55" s="316">
        <f t="shared" si="1"/>
        <v>280.2278860569715</v>
      </c>
      <c r="H55" s="317"/>
      <c r="I55" s="318" t="s">
        <v>431</v>
      </c>
    </row>
    <row r="56" spans="1:7" ht="15" customHeight="1">
      <c r="A56" s="260"/>
      <c r="B56" s="276" t="s">
        <v>82</v>
      </c>
      <c r="C56" s="276"/>
      <c r="D56" s="260"/>
      <c r="E56" s="261"/>
      <c r="F56" s="260"/>
      <c r="G56" s="263">
        <f>SUM(G49:G55)</f>
        <v>3196.0659670164914</v>
      </c>
    </row>
    <row r="57" ht="15" customHeight="1">
      <c r="A57" s="278"/>
    </row>
    <row r="58" ht="15" thickBot="1">
      <c r="A58" s="254" t="s">
        <v>83</v>
      </c>
    </row>
    <row r="59" spans="1:7" ht="28.5" customHeight="1" thickBot="1">
      <c r="A59" s="279" t="s">
        <v>37</v>
      </c>
      <c r="B59" s="652" t="s">
        <v>38</v>
      </c>
      <c r="C59" s="653"/>
      <c r="D59" s="280" t="s">
        <v>39</v>
      </c>
      <c r="E59" s="280" t="s">
        <v>207</v>
      </c>
      <c r="F59" s="280" t="s">
        <v>58</v>
      </c>
      <c r="G59" s="280" t="s">
        <v>59</v>
      </c>
    </row>
    <row r="60" spans="1:7" ht="15" customHeight="1">
      <c r="A60" s="272" t="s">
        <v>9</v>
      </c>
      <c r="B60" s="634" t="s">
        <v>84</v>
      </c>
      <c r="C60" s="634"/>
      <c r="D60" s="272" t="s">
        <v>85</v>
      </c>
      <c r="E60" s="259"/>
      <c r="F60" s="259"/>
      <c r="G60" s="281">
        <f>(G42+G56)*0.23</f>
        <v>759.0951724137931</v>
      </c>
    </row>
    <row r="61" spans="1:7" ht="15" customHeight="1">
      <c r="A61" s="260" t="s">
        <v>45</v>
      </c>
      <c r="B61" s="633" t="s">
        <v>539</v>
      </c>
      <c r="C61" s="633"/>
      <c r="D61" s="260" t="s">
        <v>85</v>
      </c>
      <c r="E61" s="283"/>
      <c r="F61" s="283"/>
      <c r="G61" s="263">
        <f>(G42+G56)*0.04</f>
        <v>132.0165517241379</v>
      </c>
    </row>
    <row r="62" ht="18" customHeight="1">
      <c r="A62" s="278"/>
    </row>
    <row r="63" ht="15" thickBot="1">
      <c r="A63" s="254" t="s">
        <v>87</v>
      </c>
    </row>
    <row r="64" spans="1:7" ht="27" customHeight="1" thickBot="1">
      <c r="A64" s="256" t="s">
        <v>37</v>
      </c>
      <c r="B64" s="642" t="s">
        <v>38</v>
      </c>
      <c r="C64" s="643"/>
      <c r="D64" s="255" t="s">
        <v>39</v>
      </c>
      <c r="E64" s="284" t="s">
        <v>207</v>
      </c>
      <c r="F64" s="256" t="s">
        <v>58</v>
      </c>
      <c r="G64" s="256" t="s">
        <v>59</v>
      </c>
    </row>
    <row r="65" spans="1:7" ht="15" customHeight="1">
      <c r="A65" s="650"/>
      <c r="B65" s="650"/>
      <c r="C65" s="650"/>
      <c r="D65" s="285"/>
      <c r="E65" s="285"/>
      <c r="F65" s="286"/>
      <c r="G65" s="286"/>
    </row>
    <row r="66" spans="1:7" ht="14.25">
      <c r="A66" s="649" t="s">
        <v>88</v>
      </c>
      <c r="B66" s="649"/>
      <c r="C66" s="649"/>
      <c r="D66" s="264"/>
      <c r="E66" s="264"/>
      <c r="F66" s="266"/>
      <c r="G66" s="266"/>
    </row>
    <row r="67" spans="1:7" ht="15" customHeight="1">
      <c r="A67" s="288" t="s">
        <v>9</v>
      </c>
      <c r="B67" s="633" t="s">
        <v>313</v>
      </c>
      <c r="C67" s="633"/>
      <c r="D67" s="260"/>
      <c r="E67" s="260"/>
      <c r="F67" s="260"/>
      <c r="G67" s="260"/>
    </row>
    <row r="68" spans="1:7" ht="15" customHeight="1">
      <c r="A68" s="288" t="s">
        <v>45</v>
      </c>
      <c r="B68" s="633" t="s">
        <v>90</v>
      </c>
      <c r="C68" s="633"/>
      <c r="D68" s="260" t="s">
        <v>91</v>
      </c>
      <c r="E68" s="260"/>
      <c r="F68" s="260"/>
      <c r="G68" s="260">
        <f>E68*F68</f>
        <v>0</v>
      </c>
    </row>
    <row r="69" spans="1:7" ht="15" customHeight="1">
      <c r="A69" s="288" t="s">
        <v>14</v>
      </c>
      <c r="B69" s="633" t="s">
        <v>92</v>
      </c>
      <c r="C69" s="633"/>
      <c r="D69" s="260" t="s">
        <v>91</v>
      </c>
      <c r="E69" s="260"/>
      <c r="F69" s="260"/>
      <c r="G69" s="260">
        <f>E69*F69</f>
        <v>0</v>
      </c>
    </row>
    <row r="70" spans="1:7" ht="15" customHeight="1">
      <c r="A70" s="288" t="s">
        <v>49</v>
      </c>
      <c r="B70" s="633" t="s">
        <v>93</v>
      </c>
      <c r="C70" s="633"/>
      <c r="D70" s="260" t="s">
        <v>91</v>
      </c>
      <c r="E70" s="260"/>
      <c r="F70" s="260"/>
      <c r="G70" s="260">
        <f>E70*F70</f>
        <v>0</v>
      </c>
    </row>
    <row r="71" spans="1:7" ht="15" customHeight="1">
      <c r="A71" s="288" t="s">
        <v>19</v>
      </c>
      <c r="B71" s="633" t="s">
        <v>434</v>
      </c>
      <c r="C71" s="633"/>
      <c r="D71" s="260"/>
      <c r="E71" s="260"/>
      <c r="F71" s="260"/>
      <c r="G71" s="260"/>
    </row>
    <row r="72" spans="1:7" ht="15" customHeight="1">
      <c r="A72" s="288"/>
      <c r="B72" s="636" t="s">
        <v>95</v>
      </c>
      <c r="C72" s="636"/>
      <c r="D72" s="289" t="s">
        <v>96</v>
      </c>
      <c r="E72" s="289"/>
      <c r="F72" s="289"/>
      <c r="G72" s="289"/>
    </row>
    <row r="73" spans="1:7" ht="15" customHeight="1">
      <c r="A73" s="288"/>
      <c r="B73" s="636" t="s">
        <v>97</v>
      </c>
      <c r="C73" s="636"/>
      <c r="D73" s="289" t="s">
        <v>91</v>
      </c>
      <c r="E73" s="289"/>
      <c r="F73" s="289"/>
      <c r="G73" s="289"/>
    </row>
    <row r="74" spans="1:7" ht="15" customHeight="1">
      <c r="A74" s="288"/>
      <c r="B74" s="636" t="s">
        <v>98</v>
      </c>
      <c r="C74" s="636"/>
      <c r="D74" s="289" t="s">
        <v>85</v>
      </c>
      <c r="E74" s="289"/>
      <c r="F74" s="289"/>
      <c r="G74" s="290">
        <f>E72*E73*F74</f>
        <v>0</v>
      </c>
    </row>
    <row r="75" spans="1:9" ht="15" customHeight="1">
      <c r="A75" s="288" t="s">
        <v>54</v>
      </c>
      <c r="B75" s="633" t="s">
        <v>397</v>
      </c>
      <c r="C75" s="633"/>
      <c r="D75" s="289"/>
      <c r="E75" s="289"/>
      <c r="F75" s="289"/>
      <c r="G75" s="290"/>
      <c r="I75" s="327"/>
    </row>
    <row r="76" spans="1:9" ht="15" customHeight="1">
      <c r="A76" s="288"/>
      <c r="B76" s="636" t="s">
        <v>97</v>
      </c>
      <c r="C76" s="636"/>
      <c r="D76" s="289" t="s">
        <v>91</v>
      </c>
      <c r="E76" s="289"/>
      <c r="F76" s="289"/>
      <c r="G76" s="290"/>
      <c r="I76" s="327"/>
    </row>
    <row r="77" spans="1:9" ht="15" customHeight="1">
      <c r="A77" s="288"/>
      <c r="B77" s="636" t="s">
        <v>100</v>
      </c>
      <c r="C77" s="636"/>
      <c r="D77" s="289" t="s">
        <v>101</v>
      </c>
      <c r="E77" s="292"/>
      <c r="F77" s="289"/>
      <c r="G77" s="290">
        <f>E76*E77*F77</f>
        <v>0</v>
      </c>
      <c r="I77" s="327"/>
    </row>
    <row r="78" spans="1:7" ht="15" customHeight="1">
      <c r="A78" s="288"/>
      <c r="B78" s="636" t="s">
        <v>102</v>
      </c>
      <c r="C78" s="636"/>
      <c r="D78" s="289" t="s">
        <v>91</v>
      </c>
      <c r="E78" s="289"/>
      <c r="F78" s="293"/>
      <c r="G78" s="290">
        <f>E76*F78</f>
        <v>0</v>
      </c>
    </row>
    <row r="79" spans="1:7" ht="14.25" customHeight="1">
      <c r="A79" s="649"/>
      <c r="B79" s="649"/>
      <c r="C79" s="649"/>
      <c r="D79" s="294"/>
      <c r="E79" s="294"/>
      <c r="F79" s="294"/>
      <c r="G79" s="294"/>
    </row>
    <row r="80" spans="1:7" ht="14.25">
      <c r="A80" s="649" t="s">
        <v>398</v>
      </c>
      <c r="B80" s="649"/>
      <c r="C80" s="649"/>
      <c r="D80" s="294"/>
      <c r="E80" s="294"/>
      <c r="F80" s="294"/>
      <c r="G80" s="294"/>
    </row>
    <row r="81" spans="1:7" ht="15" customHeight="1">
      <c r="A81" s="288"/>
      <c r="B81" s="636" t="s">
        <v>399</v>
      </c>
      <c r="C81" s="636"/>
      <c r="D81" s="289" t="s">
        <v>91</v>
      </c>
      <c r="E81" s="289">
        <v>12</v>
      </c>
      <c r="F81" s="289"/>
      <c r="G81" s="289"/>
    </row>
    <row r="82" spans="1:7" ht="15" customHeight="1">
      <c r="A82" s="288"/>
      <c r="B82" s="636" t="s">
        <v>104</v>
      </c>
      <c r="C82" s="636"/>
      <c r="D82" s="289" t="s">
        <v>101</v>
      </c>
      <c r="E82" s="289">
        <v>1.35</v>
      </c>
      <c r="F82" s="289">
        <v>1.68</v>
      </c>
      <c r="G82" s="290">
        <f>E81*E82*F82</f>
        <v>27.216000000000005</v>
      </c>
    </row>
    <row r="83" spans="1:7" ht="14.25" customHeight="1">
      <c r="A83" s="288"/>
      <c r="B83" s="636" t="s">
        <v>105</v>
      </c>
      <c r="C83" s="636"/>
      <c r="D83" s="289" t="s">
        <v>85</v>
      </c>
      <c r="E83" s="289"/>
      <c r="F83" s="289">
        <v>11.8</v>
      </c>
      <c r="G83" s="290">
        <f>E81*F83</f>
        <v>141.60000000000002</v>
      </c>
    </row>
    <row r="84" spans="1:7" ht="15" customHeight="1">
      <c r="A84" s="649"/>
      <c r="B84" s="649"/>
      <c r="C84" s="649"/>
      <c r="D84" s="294"/>
      <c r="E84" s="294"/>
      <c r="F84" s="294"/>
      <c r="G84" s="295"/>
    </row>
    <row r="85" spans="1:7" ht="14.25">
      <c r="A85" s="649" t="s">
        <v>106</v>
      </c>
      <c r="B85" s="649"/>
      <c r="C85" s="649"/>
      <c r="D85" s="294"/>
      <c r="E85" s="294"/>
      <c r="F85" s="294"/>
      <c r="G85" s="295"/>
    </row>
    <row r="86" spans="1:7" ht="15" customHeight="1">
      <c r="A86" s="288"/>
      <c r="B86" s="636" t="s">
        <v>97</v>
      </c>
      <c r="C86" s="636"/>
      <c r="D86" s="289" t="s">
        <v>91</v>
      </c>
      <c r="E86" s="289">
        <v>6</v>
      </c>
      <c r="F86" s="289"/>
      <c r="G86" s="290"/>
    </row>
    <row r="87" spans="1:7" ht="15" customHeight="1">
      <c r="A87" s="288"/>
      <c r="B87" s="636" t="s">
        <v>104</v>
      </c>
      <c r="C87" s="636"/>
      <c r="D87" s="289" t="s">
        <v>101</v>
      </c>
      <c r="E87" s="289">
        <v>0.5</v>
      </c>
      <c r="F87" s="289">
        <v>1.68</v>
      </c>
      <c r="G87" s="290">
        <f>E86*E87*F87</f>
        <v>5.04</v>
      </c>
    </row>
    <row r="88" spans="1:7" ht="14.25" customHeight="1">
      <c r="A88" s="288"/>
      <c r="B88" s="636" t="s">
        <v>107</v>
      </c>
      <c r="C88" s="636"/>
      <c r="D88" s="289" t="s">
        <v>85</v>
      </c>
      <c r="E88" s="289"/>
      <c r="F88" s="289">
        <v>0.6</v>
      </c>
      <c r="G88" s="290">
        <f>E86*F88</f>
        <v>3.5999999999999996</v>
      </c>
    </row>
    <row r="90" spans="1:7" ht="15.75">
      <c r="A90" s="649" t="s">
        <v>208</v>
      </c>
      <c r="B90" s="649"/>
      <c r="C90" s="649"/>
      <c r="D90" s="264"/>
      <c r="E90" s="264"/>
      <c r="F90" s="266"/>
      <c r="G90" s="266"/>
    </row>
    <row r="91" spans="1:7" ht="18.75" customHeight="1">
      <c r="A91" s="276"/>
      <c r="B91" s="651"/>
      <c r="C91" s="651"/>
      <c r="D91" s="260"/>
      <c r="E91" s="260"/>
      <c r="F91" s="260"/>
      <c r="G91" s="260"/>
    </row>
    <row r="92" spans="1:7" ht="18.75" customHeight="1">
      <c r="A92" s="276"/>
      <c r="B92" s="276"/>
      <c r="C92" s="276"/>
      <c r="D92" s="260"/>
      <c r="E92" s="260"/>
      <c r="F92" s="260"/>
      <c r="G92" s="260"/>
    </row>
    <row r="93" spans="1:7" ht="14.25">
      <c r="A93" s="276"/>
      <c r="B93" s="631"/>
      <c r="C93" s="632"/>
      <c r="D93" s="260"/>
      <c r="E93" s="261"/>
      <c r="F93" s="260"/>
      <c r="G93" s="263">
        <f>SUM(G91:G92)</f>
        <v>0</v>
      </c>
    </row>
    <row r="94" spans="1:7" ht="14.25" customHeight="1">
      <c r="A94" s="260"/>
      <c r="B94" s="631" t="s">
        <v>108</v>
      </c>
      <c r="C94" s="632"/>
      <c r="D94" s="260"/>
      <c r="E94" s="261"/>
      <c r="F94" s="260"/>
      <c r="G94" s="263">
        <f>SUM(G68:G93)</f>
        <v>177.45600000000002</v>
      </c>
    </row>
    <row r="95" spans="1:7" ht="12.75">
      <c r="A95" s="296"/>
      <c r="B95" s="296"/>
      <c r="C95" s="296"/>
      <c r="D95" s="296"/>
      <c r="E95" s="296"/>
      <c r="F95" s="296"/>
      <c r="G95" s="296"/>
    </row>
    <row r="96" ht="15" thickBot="1">
      <c r="A96" s="254" t="s">
        <v>110</v>
      </c>
    </row>
    <row r="97" spans="1:7" ht="26.25" customHeight="1" thickBot="1">
      <c r="A97" s="279" t="s">
        <v>37</v>
      </c>
      <c r="B97" s="297" t="s">
        <v>38</v>
      </c>
      <c r="C97" s="298"/>
      <c r="D97" s="299" t="s">
        <v>39</v>
      </c>
      <c r="E97" s="280" t="s">
        <v>207</v>
      </c>
      <c r="F97" s="280" t="s">
        <v>58</v>
      </c>
      <c r="G97" s="280" t="s">
        <v>59</v>
      </c>
    </row>
    <row r="98" spans="1:7" ht="15" customHeight="1">
      <c r="A98" s="272" t="s">
        <v>9</v>
      </c>
      <c r="B98" s="634" t="s">
        <v>111</v>
      </c>
      <c r="C98" s="634"/>
      <c r="D98" s="300" t="s">
        <v>91</v>
      </c>
      <c r="E98" s="300"/>
      <c r="F98" s="300"/>
      <c r="G98" s="272">
        <f>E98*F98</f>
        <v>0</v>
      </c>
    </row>
    <row r="99" spans="1:7" ht="15" customHeight="1">
      <c r="A99" s="260" t="s">
        <v>45</v>
      </c>
      <c r="B99" s="633" t="s">
        <v>112</v>
      </c>
      <c r="C99" s="633"/>
      <c r="D99" s="289" t="s">
        <v>91</v>
      </c>
      <c r="E99" s="289"/>
      <c r="F99" s="289"/>
      <c r="G99" s="260">
        <f>E99*F99</f>
        <v>0</v>
      </c>
    </row>
    <row r="100" spans="1:7" ht="15" customHeight="1">
      <c r="A100" s="260" t="s">
        <v>14</v>
      </c>
      <c r="B100" s="633" t="s">
        <v>113</v>
      </c>
      <c r="C100" s="633"/>
      <c r="D100" s="289" t="s">
        <v>91</v>
      </c>
      <c r="E100" s="289"/>
      <c r="F100" s="289"/>
      <c r="G100" s="260">
        <f>E100*F100</f>
        <v>0</v>
      </c>
    </row>
    <row r="101" spans="1:7" ht="15" customHeight="1">
      <c r="A101" s="260" t="s">
        <v>49</v>
      </c>
      <c r="B101" s="633" t="s">
        <v>94</v>
      </c>
      <c r="C101" s="633"/>
      <c r="D101" s="289"/>
      <c r="E101" s="289"/>
      <c r="F101" s="289"/>
      <c r="G101" s="289"/>
    </row>
    <row r="102" spans="1:7" ht="15" customHeight="1">
      <c r="A102" s="260"/>
      <c r="B102" s="636" t="s">
        <v>95</v>
      </c>
      <c r="C102" s="636"/>
      <c r="D102" s="289" t="s">
        <v>96</v>
      </c>
      <c r="E102" s="289">
        <v>1</v>
      </c>
      <c r="F102" s="289"/>
      <c r="G102" s="289"/>
    </row>
    <row r="103" spans="1:7" ht="15" customHeight="1">
      <c r="A103" s="260"/>
      <c r="B103" s="636" t="s">
        <v>97</v>
      </c>
      <c r="C103" s="636"/>
      <c r="D103" s="289" t="s">
        <v>91</v>
      </c>
      <c r="E103" s="289">
        <v>8</v>
      </c>
      <c r="F103" s="289"/>
      <c r="G103" s="289"/>
    </row>
    <row r="104" spans="1:7" ht="15" customHeight="1">
      <c r="A104" s="260"/>
      <c r="B104" s="636" t="s">
        <v>114</v>
      </c>
      <c r="C104" s="636"/>
      <c r="D104" s="289" t="s">
        <v>85</v>
      </c>
      <c r="E104" s="289"/>
      <c r="F104" s="289">
        <v>16.04</v>
      </c>
      <c r="G104" s="290">
        <f>E102*E103*F104</f>
        <v>128.32</v>
      </c>
    </row>
    <row r="105" spans="1:7" ht="15" customHeight="1">
      <c r="A105" s="260" t="s">
        <v>19</v>
      </c>
      <c r="B105" s="635" t="s">
        <v>115</v>
      </c>
      <c r="C105" s="635"/>
      <c r="D105" s="289"/>
      <c r="E105" s="289"/>
      <c r="F105" s="289"/>
      <c r="G105" s="289"/>
    </row>
    <row r="106" spans="1:7" ht="15" customHeight="1">
      <c r="A106" s="260"/>
      <c r="B106" s="636" t="s">
        <v>116</v>
      </c>
      <c r="C106" s="636"/>
      <c r="D106" s="289" t="s">
        <v>117</v>
      </c>
      <c r="E106" s="289">
        <v>1</v>
      </c>
      <c r="F106" s="289"/>
      <c r="G106" s="289"/>
    </row>
    <row r="107" spans="1:7" ht="15" customHeight="1">
      <c r="A107" s="260"/>
      <c r="B107" s="636" t="s">
        <v>118</v>
      </c>
      <c r="C107" s="636"/>
      <c r="D107" s="289" t="s">
        <v>85</v>
      </c>
      <c r="E107" s="289">
        <v>10</v>
      </c>
      <c r="F107" s="293">
        <f>(14249.86+97346.65)/73/12/193*0.5</f>
        <v>0.3300343944448388</v>
      </c>
      <c r="G107" s="290">
        <f>E106*E107*F107</f>
        <v>3.3003439444483877</v>
      </c>
    </row>
    <row r="108" spans="1:7" ht="15" customHeight="1">
      <c r="A108" s="260" t="s">
        <v>54</v>
      </c>
      <c r="B108" s="635" t="s">
        <v>119</v>
      </c>
      <c r="C108" s="635"/>
      <c r="D108" s="289"/>
      <c r="E108" s="289"/>
      <c r="F108" s="289"/>
      <c r="G108" s="289"/>
    </row>
    <row r="109" spans="1:7" ht="15" customHeight="1">
      <c r="A109" s="260"/>
      <c r="B109" s="636" t="s">
        <v>120</v>
      </c>
      <c r="C109" s="636"/>
      <c r="D109" s="289" t="s">
        <v>117</v>
      </c>
      <c r="E109" s="289"/>
      <c r="F109" s="289"/>
      <c r="G109" s="289"/>
    </row>
    <row r="110" spans="1:7" ht="15" customHeight="1">
      <c r="A110" s="260"/>
      <c r="B110" s="636" t="s">
        <v>121</v>
      </c>
      <c r="C110" s="636"/>
      <c r="D110" s="289" t="s">
        <v>85</v>
      </c>
      <c r="E110" s="289"/>
      <c r="F110" s="289"/>
      <c r="G110" s="289">
        <f>E109*E110*F110</f>
        <v>0</v>
      </c>
    </row>
    <row r="111" spans="1:7" ht="15" customHeight="1">
      <c r="A111" s="260" t="s">
        <v>22</v>
      </c>
      <c r="B111" s="635" t="s">
        <v>99</v>
      </c>
      <c r="C111" s="635"/>
      <c r="D111" s="289"/>
      <c r="E111" s="289"/>
      <c r="F111" s="289"/>
      <c r="G111" s="289"/>
    </row>
    <row r="112" spans="1:7" ht="15" customHeight="1">
      <c r="A112" s="260"/>
      <c r="B112" s="636" t="s">
        <v>97</v>
      </c>
      <c r="C112" s="636"/>
      <c r="D112" s="289" t="s">
        <v>91</v>
      </c>
      <c r="E112" s="290">
        <v>8</v>
      </c>
      <c r="F112" s="289"/>
      <c r="G112" s="289"/>
    </row>
    <row r="113" spans="1:7" ht="15" customHeight="1">
      <c r="A113" s="260"/>
      <c r="B113" s="636" t="s">
        <v>102</v>
      </c>
      <c r="C113" s="636"/>
      <c r="D113" s="289" t="s">
        <v>85</v>
      </c>
      <c r="E113" s="289"/>
      <c r="F113" s="289">
        <v>3.71</v>
      </c>
      <c r="G113" s="290">
        <f>E112*F113</f>
        <v>29.68</v>
      </c>
    </row>
    <row r="114" spans="1:7" ht="14.25" customHeight="1">
      <c r="A114" s="260" t="s">
        <v>72</v>
      </c>
      <c r="B114" s="635" t="s">
        <v>400</v>
      </c>
      <c r="C114" s="635"/>
      <c r="D114" s="289"/>
      <c r="E114" s="289"/>
      <c r="F114" s="289"/>
      <c r="G114" s="289"/>
    </row>
    <row r="115" spans="1:7" ht="15" customHeight="1">
      <c r="A115" s="301"/>
      <c r="B115" s="636" t="s">
        <v>116</v>
      </c>
      <c r="C115" s="636"/>
      <c r="D115" s="289" t="s">
        <v>117</v>
      </c>
      <c r="E115" s="289"/>
      <c r="F115" s="289"/>
      <c r="G115" s="289"/>
    </row>
    <row r="116" spans="1:7" ht="15" customHeight="1">
      <c r="A116" s="301"/>
      <c r="B116" s="636" t="s">
        <v>118</v>
      </c>
      <c r="C116" s="636"/>
      <c r="D116" s="289" t="s">
        <v>85</v>
      </c>
      <c r="E116" s="289"/>
      <c r="F116" s="293"/>
      <c r="G116" s="290">
        <f>E115*E116*F116</f>
        <v>0</v>
      </c>
    </row>
    <row r="117" spans="1:7" ht="18.75" customHeight="1">
      <c r="A117" s="260"/>
      <c r="B117" s="631" t="s">
        <v>123</v>
      </c>
      <c r="C117" s="632"/>
      <c r="D117" s="260"/>
      <c r="E117" s="261"/>
      <c r="F117" s="260"/>
      <c r="G117" s="263">
        <f>SUM(G98:G116)</f>
        <v>161.3003439444484</v>
      </c>
    </row>
    <row r="118" ht="18.75" customHeight="1">
      <c r="A118" s="245"/>
    </row>
    <row r="119" ht="18.75" customHeight="1">
      <c r="A119" s="254" t="s">
        <v>124</v>
      </c>
    </row>
    <row r="120" ht="15" thickBot="1">
      <c r="A120" s="254"/>
    </row>
    <row r="121" spans="1:9" ht="29.25" customHeight="1" thickBot="1">
      <c r="A121" s="279" t="s">
        <v>37</v>
      </c>
      <c r="B121" s="297" t="s">
        <v>38</v>
      </c>
      <c r="C121" s="298"/>
      <c r="D121" s="299" t="s">
        <v>39</v>
      </c>
      <c r="E121" s="302" t="s">
        <v>207</v>
      </c>
      <c r="F121" s="280" t="s">
        <v>58</v>
      </c>
      <c r="G121" s="280" t="s">
        <v>59</v>
      </c>
      <c r="H121" s="303"/>
      <c r="I121" s="304"/>
    </row>
    <row r="122" spans="1:9" ht="15" customHeight="1">
      <c r="A122" s="272" t="s">
        <v>9</v>
      </c>
      <c r="B122" s="634" t="s">
        <v>401</v>
      </c>
      <c r="C122" s="634"/>
      <c r="D122" s="300" t="s">
        <v>96</v>
      </c>
      <c r="E122" s="300">
        <v>1</v>
      </c>
      <c r="F122" s="300"/>
      <c r="G122" s="300"/>
      <c r="H122" s="266"/>
      <c r="I122" s="304"/>
    </row>
    <row r="123" spans="1:9" ht="15" customHeight="1">
      <c r="A123" s="260" t="s">
        <v>45</v>
      </c>
      <c r="B123" s="633" t="s">
        <v>126</v>
      </c>
      <c r="C123" s="633"/>
      <c r="D123" s="289" t="s">
        <v>127</v>
      </c>
      <c r="E123" s="289">
        <v>40</v>
      </c>
      <c r="F123" s="289"/>
      <c r="G123" s="289"/>
      <c r="H123" s="266"/>
      <c r="I123" s="304"/>
    </row>
    <row r="124" spans="1:9" ht="16.5" customHeight="1">
      <c r="A124" s="260" t="s">
        <v>14</v>
      </c>
      <c r="B124" s="633" t="s">
        <v>128</v>
      </c>
      <c r="C124" s="633"/>
      <c r="D124" s="289" t="s">
        <v>91</v>
      </c>
      <c r="E124" s="289">
        <v>8</v>
      </c>
      <c r="F124" s="293">
        <f>1880.95/712.5</f>
        <v>2.6399298245614036</v>
      </c>
      <c r="G124" s="290">
        <f>E122*E124*F124</f>
        <v>21.11943859649123</v>
      </c>
      <c r="H124" s="266"/>
      <c r="I124" s="304"/>
    </row>
    <row r="125" spans="1:9" ht="14.25" customHeight="1">
      <c r="A125" s="260" t="s">
        <v>49</v>
      </c>
      <c r="B125" s="633" t="s">
        <v>130</v>
      </c>
      <c r="C125" s="633"/>
      <c r="D125" s="289" t="s">
        <v>131</v>
      </c>
      <c r="E125" s="289"/>
      <c r="F125" s="289"/>
      <c r="G125" s="290"/>
      <c r="H125" s="266"/>
      <c r="I125" s="304"/>
    </row>
    <row r="126" spans="1:9" ht="15" customHeight="1">
      <c r="A126" s="260"/>
      <c r="B126" s="633" t="s">
        <v>132</v>
      </c>
      <c r="C126" s="633"/>
      <c r="D126" s="289" t="s">
        <v>131</v>
      </c>
      <c r="E126" s="289"/>
      <c r="F126" s="289"/>
      <c r="G126" s="290">
        <f>E126*F126</f>
        <v>0</v>
      </c>
      <c r="H126" s="266"/>
      <c r="I126" s="304"/>
    </row>
    <row r="127" spans="1:9" ht="15">
      <c r="A127" s="260"/>
      <c r="B127" s="633" t="s">
        <v>133</v>
      </c>
      <c r="C127" s="633"/>
      <c r="D127" s="289" t="s">
        <v>131</v>
      </c>
      <c r="E127" s="292">
        <f>6.6/100*E123</f>
        <v>2.64</v>
      </c>
      <c r="F127" s="289">
        <v>15.83</v>
      </c>
      <c r="G127" s="290">
        <f>E127*F127</f>
        <v>41.7912</v>
      </c>
      <c r="H127" s="266"/>
      <c r="I127" s="304"/>
    </row>
    <row r="128" spans="1:9" ht="15">
      <c r="A128" s="260"/>
      <c r="B128" s="633" t="s">
        <v>134</v>
      </c>
      <c r="C128" s="633"/>
      <c r="D128" s="289" t="s">
        <v>131</v>
      </c>
      <c r="E128" s="289"/>
      <c r="F128" s="289"/>
      <c r="G128" s="289">
        <f>E128*F128</f>
        <v>0</v>
      </c>
      <c r="H128" s="266"/>
      <c r="I128" s="304"/>
    </row>
    <row r="129" spans="1:9" ht="15">
      <c r="A129" s="260"/>
      <c r="B129" s="631" t="s">
        <v>135</v>
      </c>
      <c r="C129" s="632"/>
      <c r="D129" s="260"/>
      <c r="E129" s="261"/>
      <c r="F129" s="260"/>
      <c r="G129" s="263">
        <f>SUM(G122:G128)</f>
        <v>62.91063859649123</v>
      </c>
      <c r="H129" s="266"/>
      <c r="I129" s="304"/>
    </row>
    <row r="130" spans="1:9" ht="12.75">
      <c r="A130" s="296"/>
      <c r="B130" s="296"/>
      <c r="C130" s="296"/>
      <c r="D130" s="296"/>
      <c r="E130" s="296"/>
      <c r="F130" s="296"/>
      <c r="G130" s="296"/>
      <c r="H130" s="296"/>
      <c r="I130" s="296"/>
    </row>
    <row r="131" ht="15" thickBot="1">
      <c r="A131" s="254" t="s">
        <v>136</v>
      </c>
    </row>
    <row r="132" spans="1:7" ht="28.5" customHeight="1" thickBot="1">
      <c r="A132" s="279" t="s">
        <v>37</v>
      </c>
      <c r="B132" s="297" t="s">
        <v>38</v>
      </c>
      <c r="C132" s="298"/>
      <c r="D132" s="280" t="s">
        <v>39</v>
      </c>
      <c r="E132" s="280" t="s">
        <v>207</v>
      </c>
      <c r="F132" s="280" t="s">
        <v>58</v>
      </c>
      <c r="G132" s="280" t="s">
        <v>59</v>
      </c>
    </row>
    <row r="133" spans="1:7" ht="14.25" customHeight="1">
      <c r="A133" s="272" t="s">
        <v>9</v>
      </c>
      <c r="B133" s="634" t="s">
        <v>137</v>
      </c>
      <c r="C133" s="634"/>
      <c r="D133" s="272"/>
      <c r="E133" s="300"/>
      <c r="F133" s="300"/>
      <c r="G133" s="300"/>
    </row>
    <row r="134" spans="1:7" ht="14.25" customHeight="1">
      <c r="A134" s="260" t="s">
        <v>45</v>
      </c>
      <c r="B134" s="633" t="s">
        <v>139</v>
      </c>
      <c r="C134" s="633"/>
      <c r="D134" s="648"/>
      <c r="E134" s="648"/>
      <c r="F134" s="648"/>
      <c r="G134" s="648"/>
    </row>
    <row r="135" spans="1:7" ht="14.25" customHeight="1">
      <c r="A135" s="260" t="s">
        <v>14</v>
      </c>
      <c r="B135" s="633" t="s">
        <v>140</v>
      </c>
      <c r="C135" s="633"/>
      <c r="D135" s="648"/>
      <c r="E135" s="648"/>
      <c r="F135" s="648"/>
      <c r="G135" s="648"/>
    </row>
    <row r="136" spans="1:7" ht="15" customHeight="1">
      <c r="A136" s="260" t="s">
        <v>49</v>
      </c>
      <c r="B136" s="633" t="s">
        <v>141</v>
      </c>
      <c r="C136" s="633"/>
      <c r="D136" s="260" t="s">
        <v>402</v>
      </c>
      <c r="E136" s="289"/>
      <c r="F136" s="289"/>
      <c r="G136" s="289">
        <f>E136*F136*E133</f>
        <v>0</v>
      </c>
    </row>
    <row r="137" spans="1:7" ht="15" customHeight="1">
      <c r="A137" s="260" t="s">
        <v>19</v>
      </c>
      <c r="B137" s="633" t="s">
        <v>142</v>
      </c>
      <c r="C137" s="633"/>
      <c r="D137" s="260" t="s">
        <v>402</v>
      </c>
      <c r="E137" s="289"/>
      <c r="F137" s="289"/>
      <c r="G137" s="289">
        <f>E137*F137*E133</f>
        <v>0</v>
      </c>
    </row>
    <row r="138" spans="1:7" ht="15" customHeight="1">
      <c r="A138" s="260" t="s">
        <v>54</v>
      </c>
      <c r="B138" s="633" t="s">
        <v>143</v>
      </c>
      <c r="C138" s="633"/>
      <c r="D138" s="260" t="s">
        <v>85</v>
      </c>
      <c r="E138" s="289"/>
      <c r="F138" s="289"/>
      <c r="G138" s="289">
        <f>E133*F138</f>
        <v>0</v>
      </c>
    </row>
    <row r="139" spans="1:7" ht="15" customHeight="1">
      <c r="A139" s="260" t="s">
        <v>22</v>
      </c>
      <c r="B139" s="633" t="s">
        <v>144</v>
      </c>
      <c r="C139" s="633"/>
      <c r="D139" s="260" t="s">
        <v>85</v>
      </c>
      <c r="E139" s="289"/>
      <c r="F139" s="289"/>
      <c r="G139" s="289">
        <f>E133*F139</f>
        <v>0</v>
      </c>
    </row>
    <row r="140" spans="1:7" ht="15" customHeight="1">
      <c r="A140" s="260" t="s">
        <v>72</v>
      </c>
      <c r="B140" s="633" t="s">
        <v>145</v>
      </c>
      <c r="C140" s="633"/>
      <c r="D140" s="260" t="s">
        <v>85</v>
      </c>
      <c r="E140" s="289"/>
      <c r="F140" s="289"/>
      <c r="G140" s="289">
        <f>E133*F140</f>
        <v>0</v>
      </c>
    </row>
    <row r="141" spans="1:7" ht="15" customHeight="1">
      <c r="A141" s="260" t="s">
        <v>26</v>
      </c>
      <c r="B141" s="633" t="s">
        <v>146</v>
      </c>
      <c r="C141" s="633"/>
      <c r="D141" s="260" t="s">
        <v>85</v>
      </c>
      <c r="E141" s="289"/>
      <c r="F141" s="289"/>
      <c r="G141" s="289">
        <f>F141</f>
        <v>0</v>
      </c>
    </row>
    <row r="142" spans="1:7" ht="15" customHeight="1">
      <c r="A142" s="260" t="s">
        <v>31</v>
      </c>
      <c r="B142" s="633"/>
      <c r="C142" s="633"/>
      <c r="D142" s="260"/>
      <c r="E142" s="289"/>
      <c r="F142" s="289"/>
      <c r="G142" s="289"/>
    </row>
    <row r="143" spans="1:7" ht="15" customHeight="1">
      <c r="A143" s="260"/>
      <c r="B143" s="631" t="s">
        <v>147</v>
      </c>
      <c r="C143" s="632"/>
      <c r="D143" s="260"/>
      <c r="E143" s="261"/>
      <c r="F143" s="260"/>
      <c r="G143" s="263">
        <f>SUM(G136:G142)</f>
        <v>0</v>
      </c>
    </row>
    <row r="144" ht="14.25">
      <c r="A144" s="245"/>
    </row>
    <row r="145" ht="14.25">
      <c r="A145" s="254" t="s">
        <v>148</v>
      </c>
    </row>
    <row r="146" ht="15" thickBot="1">
      <c r="A146" s="254"/>
    </row>
    <row r="147" spans="1:7" ht="28.5" customHeight="1" thickBot="1">
      <c r="A147" s="279" t="s">
        <v>37</v>
      </c>
      <c r="B147" s="652" t="s">
        <v>38</v>
      </c>
      <c r="C147" s="653"/>
      <c r="D147" s="299" t="s">
        <v>39</v>
      </c>
      <c r="E147" s="280" t="s">
        <v>207</v>
      </c>
      <c r="F147" s="280" t="s">
        <v>58</v>
      </c>
      <c r="G147" s="280" t="s">
        <v>59</v>
      </c>
    </row>
    <row r="148" spans="1:7" ht="14.25" customHeight="1">
      <c r="A148" s="272" t="s">
        <v>9</v>
      </c>
      <c r="B148" s="634" t="s">
        <v>149</v>
      </c>
      <c r="C148" s="634"/>
      <c r="D148" s="272" t="s">
        <v>85</v>
      </c>
      <c r="E148" s="300"/>
      <c r="F148" s="300"/>
      <c r="G148" s="300"/>
    </row>
    <row r="149" spans="1:7" ht="14.25" customHeight="1">
      <c r="A149" s="260" t="s">
        <v>45</v>
      </c>
      <c r="B149" s="633" t="s">
        <v>404</v>
      </c>
      <c r="C149" s="633"/>
      <c r="D149" s="260" t="s">
        <v>85</v>
      </c>
      <c r="E149" s="289"/>
      <c r="F149" s="289"/>
      <c r="G149" s="289"/>
    </row>
    <row r="150" spans="1:7" ht="15" customHeight="1">
      <c r="A150" s="260" t="s">
        <v>14</v>
      </c>
      <c r="B150" s="633" t="s">
        <v>443</v>
      </c>
      <c r="C150" s="633"/>
      <c r="D150" s="260" t="s">
        <v>96</v>
      </c>
      <c r="E150" s="293">
        <f>3/9</f>
        <v>0.3333333333333333</v>
      </c>
      <c r="F150" s="289">
        <v>271.78</v>
      </c>
      <c r="G150" s="290">
        <f>E150*F150</f>
        <v>90.59333333333332</v>
      </c>
    </row>
    <row r="151" spans="1:7" ht="14.25">
      <c r="A151" s="260" t="s">
        <v>49</v>
      </c>
      <c r="B151" s="633" t="s">
        <v>152</v>
      </c>
      <c r="C151" s="633"/>
      <c r="D151" s="260" t="s">
        <v>96</v>
      </c>
      <c r="E151" s="289"/>
      <c r="F151" s="292"/>
      <c r="G151" s="289">
        <f>E151*F151</f>
        <v>0</v>
      </c>
    </row>
    <row r="152" spans="1:7" ht="15" customHeight="1">
      <c r="A152" s="260" t="s">
        <v>19</v>
      </c>
      <c r="B152" s="633" t="s">
        <v>153</v>
      </c>
      <c r="C152" s="633"/>
      <c r="D152" s="260"/>
      <c r="E152" s="289"/>
      <c r="F152" s="289"/>
      <c r="G152" s="328"/>
    </row>
    <row r="153" spans="1:7" ht="15" customHeight="1">
      <c r="A153" s="260" t="s">
        <v>54</v>
      </c>
      <c r="B153" s="633" t="s">
        <v>154</v>
      </c>
      <c r="C153" s="633"/>
      <c r="D153" s="260"/>
      <c r="E153" s="289"/>
      <c r="F153" s="289"/>
      <c r="G153" s="328"/>
    </row>
    <row r="154" spans="1:7" ht="15" customHeight="1">
      <c r="A154" s="260" t="s">
        <v>22</v>
      </c>
      <c r="B154" s="633" t="s">
        <v>155</v>
      </c>
      <c r="C154" s="633"/>
      <c r="D154" s="260"/>
      <c r="E154" s="289"/>
      <c r="F154" s="293"/>
      <c r="G154" s="328"/>
    </row>
    <row r="155" spans="1:7" ht="15" customHeight="1">
      <c r="A155" s="260" t="s">
        <v>72</v>
      </c>
      <c r="B155" s="633" t="s">
        <v>156</v>
      </c>
      <c r="C155" s="633"/>
      <c r="D155" s="260"/>
      <c r="E155" s="289"/>
      <c r="F155" s="289"/>
      <c r="G155" s="328"/>
    </row>
    <row r="156" spans="1:7" ht="15" customHeight="1">
      <c r="A156" s="260" t="s">
        <v>26</v>
      </c>
      <c r="B156" s="633" t="s">
        <v>306</v>
      </c>
      <c r="C156" s="633"/>
      <c r="D156" s="260" t="s">
        <v>85</v>
      </c>
      <c r="E156" s="289"/>
      <c r="F156" s="289"/>
      <c r="G156" s="289"/>
    </row>
    <row r="157" spans="1:7" ht="15" customHeight="1">
      <c r="A157" s="260"/>
      <c r="B157" s="648"/>
      <c r="C157" s="648"/>
      <c r="D157" s="260"/>
      <c r="E157" s="289"/>
      <c r="F157" s="289"/>
      <c r="G157" s="289">
        <f>E157*F157</f>
        <v>0</v>
      </c>
    </row>
    <row r="158" spans="1:7" ht="15" customHeight="1">
      <c r="A158" s="260"/>
      <c r="B158" s="656"/>
      <c r="C158" s="657"/>
      <c r="D158" s="260"/>
      <c r="E158" s="289"/>
      <c r="F158" s="289"/>
      <c r="G158" s="289">
        <f>E158*F158</f>
        <v>0</v>
      </c>
    </row>
    <row r="159" spans="1:7" ht="15" customHeight="1">
      <c r="A159" s="260"/>
      <c r="B159" s="654"/>
      <c r="C159" s="655"/>
      <c r="D159" s="260"/>
      <c r="E159" s="289"/>
      <c r="F159" s="289"/>
      <c r="G159" s="289">
        <f>E159*F159</f>
        <v>0</v>
      </c>
    </row>
    <row r="160" spans="1:7" ht="15" customHeight="1">
      <c r="A160" s="260"/>
      <c r="B160" s="631" t="s">
        <v>158</v>
      </c>
      <c r="C160" s="632"/>
      <c r="D160" s="260"/>
      <c r="E160" s="261"/>
      <c r="F160" s="260"/>
      <c r="G160" s="263">
        <f>SUM(G148:G159)</f>
        <v>90.59333333333332</v>
      </c>
    </row>
    <row r="161" ht="14.25">
      <c r="A161" s="245"/>
    </row>
    <row r="162" ht="14.25">
      <c r="A162" s="254" t="s">
        <v>159</v>
      </c>
    </row>
    <row r="163" ht="15" thickBot="1">
      <c r="A163" s="254"/>
    </row>
    <row r="164" spans="1:7" ht="28.5" customHeight="1">
      <c r="A164" s="637" t="s">
        <v>37</v>
      </c>
      <c r="B164" s="642" t="s">
        <v>38</v>
      </c>
      <c r="C164" s="643"/>
      <c r="D164" s="255" t="s">
        <v>39</v>
      </c>
      <c r="E164" s="256" t="s">
        <v>207</v>
      </c>
      <c r="F164" s="256" t="s">
        <v>58</v>
      </c>
      <c r="G164" s="256" t="s">
        <v>59</v>
      </c>
    </row>
    <row r="165" spans="1:7" ht="15" customHeight="1" thickBot="1">
      <c r="A165" s="638"/>
      <c r="B165" s="644"/>
      <c r="C165" s="645"/>
      <c r="D165" s="257"/>
      <c r="E165" s="258"/>
      <c r="F165" s="258"/>
      <c r="G165" s="258"/>
    </row>
    <row r="166" spans="1:7" ht="15" customHeight="1">
      <c r="A166" s="272" t="s">
        <v>9</v>
      </c>
      <c r="B166" s="646" t="s">
        <v>160</v>
      </c>
      <c r="C166" s="647"/>
      <c r="D166" s="272" t="s">
        <v>85</v>
      </c>
      <c r="E166" s="272"/>
      <c r="F166" s="272"/>
      <c r="G166" s="272">
        <f>E166*F166</f>
        <v>0</v>
      </c>
    </row>
    <row r="167" spans="1:7" ht="15" customHeight="1">
      <c r="A167" s="260"/>
      <c r="B167" s="658"/>
      <c r="C167" s="658"/>
      <c r="D167" s="260"/>
      <c r="E167" s="260"/>
      <c r="F167" s="260"/>
      <c r="G167" s="260"/>
    </row>
    <row r="168" spans="1:7" ht="15" customHeight="1">
      <c r="A168" s="260"/>
      <c r="B168" s="631" t="s">
        <v>161</v>
      </c>
      <c r="C168" s="632"/>
      <c r="D168" s="260"/>
      <c r="E168" s="260"/>
      <c r="F168" s="260"/>
      <c r="G168" s="260">
        <f>SUM(G166:G167)</f>
        <v>0</v>
      </c>
    </row>
    <row r="169" ht="15" customHeight="1">
      <c r="A169" s="245"/>
    </row>
    <row r="170" ht="14.25">
      <c r="A170" s="254" t="s">
        <v>162</v>
      </c>
    </row>
    <row r="171" ht="15" thickBot="1">
      <c r="A171" s="254"/>
    </row>
    <row r="172" spans="1:7" ht="28.5" customHeight="1" thickBot="1">
      <c r="A172" s="279" t="s">
        <v>37</v>
      </c>
      <c r="B172" s="652" t="s">
        <v>38</v>
      </c>
      <c r="C172" s="653"/>
      <c r="D172" s="299" t="s">
        <v>39</v>
      </c>
      <c r="E172" s="280" t="s">
        <v>207</v>
      </c>
      <c r="F172" s="280" t="s">
        <v>58</v>
      </c>
      <c r="G172" s="280" t="s">
        <v>59</v>
      </c>
    </row>
    <row r="173" spans="1:7" ht="14.25" customHeight="1">
      <c r="A173" s="272" t="s">
        <v>9</v>
      </c>
      <c r="B173" s="634" t="s">
        <v>163</v>
      </c>
      <c r="C173" s="634"/>
      <c r="D173" s="272"/>
      <c r="E173" s="272"/>
      <c r="F173" s="272"/>
      <c r="G173" s="272"/>
    </row>
    <row r="174" spans="1:7" ht="14.25" customHeight="1">
      <c r="A174" s="260"/>
      <c r="B174" s="633" t="s">
        <v>164</v>
      </c>
      <c r="C174" s="633"/>
      <c r="D174" s="260" t="s">
        <v>165</v>
      </c>
      <c r="E174" s="289"/>
      <c r="F174" s="289"/>
      <c r="G174" s="289">
        <f>E174*F174</f>
        <v>0</v>
      </c>
    </row>
    <row r="175" spans="1:7" ht="14.25" customHeight="1">
      <c r="A175" s="260"/>
      <c r="B175" s="633" t="s">
        <v>167</v>
      </c>
      <c r="C175" s="633"/>
      <c r="D175" s="260" t="s">
        <v>165</v>
      </c>
      <c r="E175" s="289"/>
      <c r="F175" s="289"/>
      <c r="G175" s="289">
        <f>E175*F175</f>
        <v>0</v>
      </c>
    </row>
    <row r="176" spans="1:7" ht="14.25" customHeight="1">
      <c r="A176" s="260"/>
      <c r="B176" s="633" t="s">
        <v>168</v>
      </c>
      <c r="C176" s="633"/>
      <c r="D176" s="260" t="s">
        <v>165</v>
      </c>
      <c r="E176" s="289"/>
      <c r="F176" s="289"/>
      <c r="G176" s="289">
        <f>E176*F176</f>
        <v>0</v>
      </c>
    </row>
    <row r="177" spans="1:7" ht="29.25" customHeight="1">
      <c r="A177" s="260" t="s">
        <v>45</v>
      </c>
      <c r="B177" s="633" t="s">
        <v>170</v>
      </c>
      <c r="C177" s="633"/>
      <c r="D177" s="260" t="s">
        <v>165</v>
      </c>
      <c r="E177" s="289"/>
      <c r="F177" s="292"/>
      <c r="G177" s="289">
        <f>E177*F177</f>
        <v>0</v>
      </c>
    </row>
    <row r="178" spans="1:7" ht="15" customHeight="1">
      <c r="A178" s="260" t="s">
        <v>14</v>
      </c>
      <c r="B178" s="633" t="s">
        <v>171</v>
      </c>
      <c r="C178" s="633"/>
      <c r="D178" s="260" t="s">
        <v>85</v>
      </c>
      <c r="E178" s="289"/>
      <c r="F178" s="289"/>
      <c r="G178" s="289">
        <f>E178*F178</f>
        <v>0</v>
      </c>
    </row>
    <row r="179" spans="1:9" ht="15" customHeight="1">
      <c r="A179" s="260" t="s">
        <v>49</v>
      </c>
      <c r="B179" s="633" t="s">
        <v>172</v>
      </c>
      <c r="C179" s="633"/>
      <c r="D179" s="260" t="s">
        <v>91</v>
      </c>
      <c r="E179" s="289" t="s">
        <v>232</v>
      </c>
      <c r="F179" s="322">
        <f>23700*1.27/722.42</f>
        <v>41.66412890008583</v>
      </c>
      <c r="G179" s="323">
        <f>10/60*F179</f>
        <v>6.944021483347638</v>
      </c>
      <c r="H179" s="324"/>
      <c r="I179" s="324" t="s">
        <v>173</v>
      </c>
    </row>
    <row r="180" spans="1:7" ht="15" customHeight="1">
      <c r="A180" s="260" t="s">
        <v>19</v>
      </c>
      <c r="B180" s="633" t="s">
        <v>174</v>
      </c>
      <c r="C180" s="633"/>
      <c r="D180" s="260" t="s">
        <v>43</v>
      </c>
      <c r="E180" s="289"/>
      <c r="F180" s="292"/>
      <c r="G180" s="290"/>
    </row>
    <row r="181" spans="1:7" ht="14.25" customHeight="1">
      <c r="A181" s="260" t="s">
        <v>54</v>
      </c>
      <c r="B181" s="633" t="s">
        <v>175</v>
      </c>
      <c r="C181" s="633"/>
      <c r="D181" s="260" t="s">
        <v>43</v>
      </c>
      <c r="E181" s="329"/>
      <c r="F181" s="293"/>
      <c r="G181" s="290">
        <f>E181*F181</f>
        <v>0</v>
      </c>
    </row>
    <row r="182" spans="1:7" ht="14.25" customHeight="1">
      <c r="A182" s="260" t="s">
        <v>22</v>
      </c>
      <c r="B182" s="633" t="s">
        <v>176</v>
      </c>
      <c r="C182" s="633"/>
      <c r="D182" s="260" t="s">
        <v>43</v>
      </c>
      <c r="E182" s="307"/>
      <c r="F182" s="289"/>
      <c r="G182" s="289">
        <f>E182*F182</f>
        <v>0</v>
      </c>
    </row>
    <row r="183" spans="1:7" ht="15" customHeight="1">
      <c r="A183" s="260" t="s">
        <v>72</v>
      </c>
      <c r="B183" s="633" t="s">
        <v>209</v>
      </c>
      <c r="C183" s="633"/>
      <c r="D183" s="260" t="s">
        <v>85</v>
      </c>
      <c r="E183" s="289"/>
      <c r="F183" s="289"/>
      <c r="G183" s="289">
        <f>E183*F183</f>
        <v>0</v>
      </c>
    </row>
    <row r="184" spans="1:7" ht="15" customHeight="1">
      <c r="A184" s="260"/>
      <c r="B184" s="631" t="s">
        <v>177</v>
      </c>
      <c r="C184" s="632"/>
      <c r="D184" s="260"/>
      <c r="E184" s="260"/>
      <c r="F184" s="260"/>
      <c r="G184" s="263">
        <f>SUM(G174:G183)</f>
        <v>6.944021483347638</v>
      </c>
    </row>
    <row r="185" ht="13.5" customHeight="1">
      <c r="A185" s="245"/>
    </row>
    <row r="186" ht="14.25">
      <c r="A186" s="254" t="s">
        <v>178</v>
      </c>
    </row>
    <row r="187" ht="15" thickBot="1">
      <c r="A187" s="254"/>
    </row>
    <row r="188" spans="1:7" ht="28.5" customHeight="1" thickBot="1">
      <c r="A188" s="279" t="s">
        <v>37</v>
      </c>
      <c r="B188" s="652" t="s">
        <v>38</v>
      </c>
      <c r="C188" s="653"/>
      <c r="D188" s="299" t="s">
        <v>39</v>
      </c>
      <c r="E188" s="280" t="s">
        <v>207</v>
      </c>
      <c r="F188" s="280" t="s">
        <v>58</v>
      </c>
      <c r="G188" s="280" t="s">
        <v>59</v>
      </c>
    </row>
    <row r="189" spans="1:9" ht="15" customHeight="1">
      <c r="A189" s="272" t="s">
        <v>9</v>
      </c>
      <c r="B189" s="634" t="s">
        <v>179</v>
      </c>
      <c r="C189" s="634"/>
      <c r="D189" s="272" t="s">
        <v>180</v>
      </c>
      <c r="E189" s="300"/>
      <c r="F189" s="308"/>
      <c r="G189" s="309">
        <f>E189*F189</f>
        <v>0</v>
      </c>
      <c r="H189" s="310"/>
      <c r="I189" s="310"/>
    </row>
    <row r="190" spans="1:7" ht="15" customHeight="1">
      <c r="A190" s="260" t="s">
        <v>45</v>
      </c>
      <c r="B190" s="633" t="s">
        <v>181</v>
      </c>
      <c r="C190" s="633"/>
      <c r="D190" s="260" t="s">
        <v>180</v>
      </c>
      <c r="E190" s="289"/>
      <c r="F190" s="289"/>
      <c r="G190" s="289">
        <f>E190*F190</f>
        <v>0</v>
      </c>
    </row>
    <row r="191" spans="1:7" ht="15" customHeight="1">
      <c r="A191" s="260" t="s">
        <v>14</v>
      </c>
      <c r="B191" s="633" t="s">
        <v>182</v>
      </c>
      <c r="C191" s="633"/>
      <c r="D191" s="260" t="s">
        <v>180</v>
      </c>
      <c r="E191" s="289"/>
      <c r="F191" s="293"/>
      <c r="G191" s="290">
        <f>E191*F191*0.5</f>
        <v>0</v>
      </c>
    </row>
    <row r="192" spans="1:7" ht="15" customHeight="1">
      <c r="A192" s="260" t="s">
        <v>49</v>
      </c>
      <c r="B192" s="633"/>
      <c r="C192" s="633"/>
      <c r="D192" s="260"/>
      <c r="E192" s="260"/>
      <c r="F192" s="260"/>
      <c r="G192" s="260"/>
    </row>
    <row r="193" spans="1:7" ht="15" customHeight="1">
      <c r="A193" s="260"/>
      <c r="B193" s="631" t="s">
        <v>183</v>
      </c>
      <c r="C193" s="632"/>
      <c r="D193" s="260"/>
      <c r="E193" s="260"/>
      <c r="F193" s="260"/>
      <c r="G193" s="263">
        <f>SUM(G189:G192)</f>
        <v>0</v>
      </c>
    </row>
    <row r="194" ht="14.25">
      <c r="A194" s="245"/>
    </row>
    <row r="195" ht="14.25">
      <c r="A195" s="245"/>
    </row>
    <row r="196" ht="14.25">
      <c r="A196" s="245" t="s">
        <v>184</v>
      </c>
    </row>
    <row r="197" ht="15" thickBot="1">
      <c r="A197" s="245"/>
    </row>
    <row r="198" spans="1:7" ht="28.5" customHeight="1" thickBot="1">
      <c r="A198" s="279" t="s">
        <v>37</v>
      </c>
      <c r="B198" s="652" t="s">
        <v>38</v>
      </c>
      <c r="C198" s="653"/>
      <c r="D198" s="299" t="s">
        <v>39</v>
      </c>
      <c r="E198" s="280" t="s">
        <v>210</v>
      </c>
      <c r="F198" s="280" t="s">
        <v>58</v>
      </c>
      <c r="G198" s="280" t="s">
        <v>59</v>
      </c>
    </row>
    <row r="199" spans="1:7" ht="15" customHeight="1">
      <c r="A199" s="272" t="s">
        <v>9</v>
      </c>
      <c r="B199" s="634" t="s">
        <v>185</v>
      </c>
      <c r="C199" s="634"/>
      <c r="D199" s="272" t="s">
        <v>85</v>
      </c>
      <c r="E199" s="300">
        <v>0.5</v>
      </c>
      <c r="F199" s="300">
        <v>32.6</v>
      </c>
      <c r="G199" s="311">
        <f>E199*F199</f>
        <v>16.3</v>
      </c>
    </row>
    <row r="200" spans="1:10" ht="14.25" customHeight="1">
      <c r="A200" s="260" t="s">
        <v>45</v>
      </c>
      <c r="B200" s="633" t="s">
        <v>186</v>
      </c>
      <c r="C200" s="633"/>
      <c r="D200" s="260" t="s">
        <v>85</v>
      </c>
      <c r="E200" s="114"/>
      <c r="F200" s="44">
        <f>(1151.55+210.41+5.7+145.58)*1.2</f>
        <v>1815.888</v>
      </c>
      <c r="G200" s="103">
        <f>F200*E199</f>
        <v>907.944</v>
      </c>
      <c r="H200" s="65"/>
      <c r="I200" s="65"/>
      <c r="J200" s="65"/>
    </row>
    <row r="201" spans="1:10" ht="14.25" customHeight="1">
      <c r="A201" s="260" t="s">
        <v>14</v>
      </c>
      <c r="B201" s="633" t="s">
        <v>187</v>
      </c>
      <c r="C201" s="633"/>
      <c r="D201" s="260" t="s">
        <v>85</v>
      </c>
      <c r="E201" s="114"/>
      <c r="F201" s="114"/>
      <c r="G201" s="114"/>
      <c r="H201" s="65"/>
      <c r="I201" s="65"/>
      <c r="J201" s="65"/>
    </row>
    <row r="202" spans="1:10" ht="14.25">
      <c r="A202" s="260" t="s">
        <v>49</v>
      </c>
      <c r="B202" s="633" t="s">
        <v>188</v>
      </c>
      <c r="C202" s="633"/>
      <c r="D202" s="260" t="s">
        <v>85</v>
      </c>
      <c r="E202" s="114"/>
      <c r="F202" s="114"/>
      <c r="G202" s="114"/>
      <c r="H202" s="65"/>
      <c r="I202" s="65"/>
      <c r="J202" s="65"/>
    </row>
    <row r="203" spans="1:10" ht="15" customHeight="1">
      <c r="A203" s="260" t="s">
        <v>19</v>
      </c>
      <c r="B203" s="633" t="s">
        <v>407</v>
      </c>
      <c r="C203" s="633"/>
      <c r="D203" s="260" t="s">
        <v>85</v>
      </c>
      <c r="E203" s="114"/>
      <c r="F203" s="114"/>
      <c r="G203" s="114"/>
      <c r="H203" s="65"/>
      <c r="I203" s="65"/>
      <c r="J203" s="65"/>
    </row>
    <row r="204" spans="1:10" ht="15" customHeight="1">
      <c r="A204" s="260" t="s">
        <v>54</v>
      </c>
      <c r="B204" s="633" t="s">
        <v>190</v>
      </c>
      <c r="C204" s="633"/>
      <c r="D204" s="260" t="s">
        <v>101</v>
      </c>
      <c r="E204" s="241">
        <f>J204/F204</f>
        <v>18.074825033505</v>
      </c>
      <c r="F204" s="43">
        <v>1.68</v>
      </c>
      <c r="G204" s="240">
        <f>E204*F204</f>
        <v>30.3657060562884</v>
      </c>
      <c r="H204" s="54"/>
      <c r="I204" s="448">
        <f>1288300*0.4/8485.23</f>
        <v>60.7314121125768</v>
      </c>
      <c r="J204" s="448">
        <f>I204*E199</f>
        <v>30.3657060562884</v>
      </c>
    </row>
    <row r="205" spans="1:10" ht="15" customHeight="1">
      <c r="A205" s="260" t="s">
        <v>22</v>
      </c>
      <c r="B205" s="633" t="s">
        <v>191</v>
      </c>
      <c r="C205" s="633"/>
      <c r="D205" s="260" t="s">
        <v>192</v>
      </c>
      <c r="E205" s="446">
        <f>J205/F205</f>
        <v>0.10058302620539868</v>
      </c>
      <c r="F205" s="43">
        <f>987*1.2</f>
        <v>1184.3999999999999</v>
      </c>
      <c r="G205" s="240">
        <f>E205*F205</f>
        <v>119.13053623767418</v>
      </c>
      <c r="H205" s="54"/>
      <c r="I205" s="448">
        <f>2021700/8485.23</f>
        <v>238.26107247534836</v>
      </c>
      <c r="J205" s="448">
        <f>I205*E199</f>
        <v>119.13053623767418</v>
      </c>
    </row>
    <row r="206" spans="1:10" ht="15" customHeight="1">
      <c r="A206" s="260" t="s">
        <v>72</v>
      </c>
      <c r="B206" s="633" t="s">
        <v>193</v>
      </c>
      <c r="C206" s="633"/>
      <c r="D206" s="260" t="s">
        <v>85</v>
      </c>
      <c r="E206" s="447"/>
      <c r="F206" s="241">
        <f>(229000+16300)/8485.23</f>
        <v>28.909057267746427</v>
      </c>
      <c r="G206" s="240">
        <f>F206*E199</f>
        <v>14.454528633873213</v>
      </c>
      <c r="H206" s="54"/>
      <c r="I206" s="54"/>
      <c r="J206" s="54"/>
    </row>
    <row r="207" spans="1:10" ht="14.25" customHeight="1">
      <c r="A207" s="260" t="s">
        <v>26</v>
      </c>
      <c r="B207" s="633" t="s">
        <v>194</v>
      </c>
      <c r="C207" s="633"/>
      <c r="D207" s="260" t="s">
        <v>85</v>
      </c>
      <c r="E207" s="447"/>
      <c r="F207" s="43">
        <v>2693.4</v>
      </c>
      <c r="G207" s="240">
        <f>F207*E199</f>
        <v>1346.7</v>
      </c>
      <c r="H207" s="54"/>
      <c r="I207" s="54"/>
      <c r="J207" s="54"/>
    </row>
    <row r="208" spans="1:10" ht="15" customHeight="1">
      <c r="A208" s="260" t="s">
        <v>31</v>
      </c>
      <c r="B208" s="633" t="s">
        <v>408</v>
      </c>
      <c r="C208" s="633"/>
      <c r="D208" s="260" t="s">
        <v>85</v>
      </c>
      <c r="E208" s="447"/>
      <c r="F208" s="43">
        <v>300.6</v>
      </c>
      <c r="G208" s="240">
        <f>F208*E199</f>
        <v>150.3</v>
      </c>
      <c r="H208" s="54"/>
      <c r="I208" s="54"/>
      <c r="J208" s="54"/>
    </row>
    <row r="209" spans="1:10" ht="15" customHeight="1">
      <c r="A209" s="260" t="s">
        <v>79</v>
      </c>
      <c r="B209" s="633" t="s">
        <v>196</v>
      </c>
      <c r="C209" s="633"/>
      <c r="D209" s="260" t="s">
        <v>85</v>
      </c>
      <c r="E209" s="447"/>
      <c r="F209" s="43">
        <v>1242.8</v>
      </c>
      <c r="G209" s="240">
        <f>F209*E199</f>
        <v>621.4</v>
      </c>
      <c r="H209" s="54"/>
      <c r="I209" s="54"/>
      <c r="J209" s="54"/>
    </row>
    <row r="210" ht="14.25">
      <c r="A210" s="245"/>
    </row>
    <row r="211" ht="14.25">
      <c r="A211" s="245" t="s">
        <v>435</v>
      </c>
    </row>
    <row r="212" ht="15" thickBot="1">
      <c r="A212" s="254"/>
    </row>
    <row r="213" spans="1:7" ht="14.25" customHeight="1">
      <c r="A213" s="637" t="s">
        <v>37</v>
      </c>
      <c r="B213" s="642" t="s">
        <v>38</v>
      </c>
      <c r="C213" s="643"/>
      <c r="D213" s="255" t="s">
        <v>198</v>
      </c>
      <c r="E213" s="642" t="s">
        <v>59</v>
      </c>
      <c r="F213" s="660"/>
      <c r="G213" s="643"/>
    </row>
    <row r="214" spans="1:7" ht="15" thickBot="1">
      <c r="A214" s="638"/>
      <c r="B214" s="644"/>
      <c r="C214" s="645"/>
      <c r="D214" s="257" t="s">
        <v>199</v>
      </c>
      <c r="E214" s="644"/>
      <c r="F214" s="661"/>
      <c r="G214" s="645"/>
    </row>
    <row r="215" spans="1:11" ht="15" customHeight="1">
      <c r="A215" s="272" t="s">
        <v>9</v>
      </c>
      <c r="B215" s="634" t="s">
        <v>200</v>
      </c>
      <c r="C215" s="634"/>
      <c r="D215" s="272" t="s">
        <v>85</v>
      </c>
      <c r="E215" s="667">
        <f>G42+G56+G60+G61+G94+G117+G129+G143+G160+G168+G184+G193</f>
        <v>4690.729854599</v>
      </c>
      <c r="F215" s="667"/>
      <c r="G215" s="667"/>
      <c r="H215" s="313"/>
      <c r="K215" s="313"/>
    </row>
    <row r="216" spans="1:7" ht="15" customHeight="1">
      <c r="A216" s="260" t="s">
        <v>45</v>
      </c>
      <c r="B216" s="633" t="s">
        <v>201</v>
      </c>
      <c r="C216" s="633"/>
      <c r="D216" s="260" t="s">
        <v>85</v>
      </c>
      <c r="E216" s="662">
        <f>SUM(G199:G209)</f>
        <v>3206.594770927836</v>
      </c>
      <c r="F216" s="662"/>
      <c r="G216" s="662"/>
    </row>
    <row r="217" spans="1:7" ht="14.25">
      <c r="A217" s="260" t="s">
        <v>14</v>
      </c>
      <c r="B217" s="633" t="s">
        <v>202</v>
      </c>
      <c r="C217" s="633"/>
      <c r="D217" s="260" t="s">
        <v>85</v>
      </c>
      <c r="E217" s="662">
        <f>SUM(E215:G216)</f>
        <v>7897.324625526836</v>
      </c>
      <c r="F217" s="662"/>
      <c r="G217" s="662"/>
    </row>
    <row r="218" spans="1:7" ht="27.75" customHeight="1">
      <c r="A218" s="260">
        <v>4</v>
      </c>
      <c r="B218" s="633" t="s">
        <v>203</v>
      </c>
      <c r="C218" s="633"/>
      <c r="D218" s="260" t="s">
        <v>85</v>
      </c>
      <c r="E218" s="659"/>
      <c r="F218" s="659"/>
      <c r="G218" s="659"/>
    </row>
    <row r="219" spans="1:7" ht="15" customHeight="1">
      <c r="A219" s="260" t="s">
        <v>19</v>
      </c>
      <c r="B219" s="633" t="s">
        <v>204</v>
      </c>
      <c r="C219" s="633"/>
      <c r="D219" s="260" t="s">
        <v>85</v>
      </c>
      <c r="E219" s="659">
        <f>E217-E218</f>
        <v>7897.324625526836</v>
      </c>
      <c r="F219" s="659"/>
      <c r="G219" s="659"/>
    </row>
    <row r="220" spans="1:9" ht="14.25">
      <c r="A220" s="278"/>
      <c r="I220" s="282"/>
    </row>
    <row r="221" ht="14.25">
      <c r="A221" s="278"/>
    </row>
    <row r="230" ht="14.25">
      <c r="B230" s="314" t="s">
        <v>63</v>
      </c>
    </row>
    <row r="232" ht="14.25">
      <c r="B232" s="314" t="s">
        <v>206</v>
      </c>
    </row>
  </sheetData>
  <sheetProtection/>
  <mergeCells count="169"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  <mergeCell ref="D18:E18"/>
    <mergeCell ref="D20:E20"/>
    <mergeCell ref="D14:E14"/>
    <mergeCell ref="B31:C32"/>
    <mergeCell ref="B26:G26"/>
    <mergeCell ref="C24:G24"/>
    <mergeCell ref="E219:G219"/>
    <mergeCell ref="B47:C47"/>
    <mergeCell ref="B64:C64"/>
    <mergeCell ref="B59:C59"/>
    <mergeCell ref="D47:D48"/>
    <mergeCell ref="B219:C219"/>
    <mergeCell ref="E215:G215"/>
    <mergeCell ref="B215:C215"/>
    <mergeCell ref="B216:C216"/>
    <mergeCell ref="B217:C217"/>
    <mergeCell ref="B33:C33"/>
    <mergeCell ref="B39:C39"/>
    <mergeCell ref="B40:C40"/>
    <mergeCell ref="B206:C206"/>
    <mergeCell ref="E218:G218"/>
    <mergeCell ref="B207:C207"/>
    <mergeCell ref="B208:C208"/>
    <mergeCell ref="B209:C209"/>
    <mergeCell ref="E213:G214"/>
    <mergeCell ref="B218:C218"/>
    <mergeCell ref="B213:C214"/>
    <mergeCell ref="E216:G216"/>
    <mergeCell ref="E217:G217"/>
    <mergeCell ref="B200:C200"/>
    <mergeCell ref="B201:C201"/>
    <mergeCell ref="B202:C202"/>
    <mergeCell ref="B203:C203"/>
    <mergeCell ref="B204:C204"/>
    <mergeCell ref="B205:C205"/>
    <mergeCell ref="B199:C199"/>
    <mergeCell ref="B176:C176"/>
    <mergeCell ref="B158:C158"/>
    <mergeCell ref="B167:C167"/>
    <mergeCell ref="B168:C168"/>
    <mergeCell ref="B198:C198"/>
    <mergeCell ref="B192:C192"/>
    <mergeCell ref="B160:C160"/>
    <mergeCell ref="B175:C175"/>
    <mergeCell ref="B184:C184"/>
    <mergeCell ref="B157:C157"/>
    <mergeCell ref="B172:C172"/>
    <mergeCell ref="B174:C174"/>
    <mergeCell ref="B188:C188"/>
    <mergeCell ref="B181:C181"/>
    <mergeCell ref="B182:C182"/>
    <mergeCell ref="B183:C183"/>
    <mergeCell ref="B179:C179"/>
    <mergeCell ref="B180:C180"/>
    <mergeCell ref="B177:C177"/>
    <mergeCell ref="B147:C147"/>
    <mergeCell ref="B178:C178"/>
    <mergeCell ref="B156:C156"/>
    <mergeCell ref="B155:C155"/>
    <mergeCell ref="B159:C159"/>
    <mergeCell ref="B151:C151"/>
    <mergeCell ref="B148:C148"/>
    <mergeCell ref="B154:C154"/>
    <mergeCell ref="B153:C153"/>
    <mergeCell ref="B152:C152"/>
    <mergeCell ref="B104:C104"/>
    <mergeCell ref="B105:C105"/>
    <mergeCell ref="B73:C73"/>
    <mergeCell ref="B74:C74"/>
    <mergeCell ref="B75:C75"/>
    <mergeCell ref="B76:C76"/>
    <mergeCell ref="B98:C98"/>
    <mergeCell ref="B91:C91"/>
    <mergeCell ref="B93:C93"/>
    <mergeCell ref="A90:C90"/>
    <mergeCell ref="B72:C72"/>
    <mergeCell ref="G47:G48"/>
    <mergeCell ref="B77:C77"/>
    <mergeCell ref="A65:C65"/>
    <mergeCell ref="A47:A48"/>
    <mergeCell ref="F47:F48"/>
    <mergeCell ref="A66:C66"/>
    <mergeCell ref="E47:E48"/>
    <mergeCell ref="B78:C78"/>
    <mergeCell ref="B102:C102"/>
    <mergeCell ref="B67:C67"/>
    <mergeCell ref="B68:C68"/>
    <mergeCell ref="A79:C79"/>
    <mergeCell ref="A80:C80"/>
    <mergeCell ref="B88:C88"/>
    <mergeCell ref="B69:C69"/>
    <mergeCell ref="B70:C70"/>
    <mergeCell ref="B71:C71"/>
    <mergeCell ref="B149:C149"/>
    <mergeCell ref="B150:C150"/>
    <mergeCell ref="B103:C103"/>
    <mergeCell ref="B100:C100"/>
    <mergeCell ref="B101:C101"/>
    <mergeCell ref="B106:C106"/>
    <mergeCell ref="B107:C107"/>
    <mergeCell ref="B108:C108"/>
    <mergeCell ref="B109:C109"/>
    <mergeCell ref="B110:C110"/>
    <mergeCell ref="D134:G134"/>
    <mergeCell ref="D135:G135"/>
    <mergeCell ref="B83:C83"/>
    <mergeCell ref="B81:C81"/>
    <mergeCell ref="B82:C82"/>
    <mergeCell ref="A84:C84"/>
    <mergeCell ref="A85:C85"/>
    <mergeCell ref="B99:C99"/>
    <mergeCell ref="B86:C86"/>
    <mergeCell ref="B87:C87"/>
    <mergeCell ref="B190:C190"/>
    <mergeCell ref="B191:C191"/>
    <mergeCell ref="A164:A165"/>
    <mergeCell ref="B164:C165"/>
    <mergeCell ref="B166:C166"/>
    <mergeCell ref="B173:C173"/>
    <mergeCell ref="B37:C37"/>
    <mergeCell ref="B38:C38"/>
    <mergeCell ref="A213:A214"/>
    <mergeCell ref="B123:C123"/>
    <mergeCell ref="B124:C124"/>
    <mergeCell ref="B125:C125"/>
    <mergeCell ref="B126:C126"/>
    <mergeCell ref="B127:C127"/>
    <mergeCell ref="B128:C128"/>
    <mergeCell ref="B189:C189"/>
    <mergeCell ref="B115:C115"/>
    <mergeCell ref="B116:C116"/>
    <mergeCell ref="A31:A32"/>
    <mergeCell ref="B42:C42"/>
    <mergeCell ref="B60:C60"/>
    <mergeCell ref="B61:C61"/>
    <mergeCell ref="A38:A41"/>
    <mergeCell ref="B34:C34"/>
    <mergeCell ref="B35:C35"/>
    <mergeCell ref="B36:C36"/>
    <mergeCell ref="B137:C137"/>
    <mergeCell ref="B139:C139"/>
    <mergeCell ref="B140:C140"/>
    <mergeCell ref="B141:C141"/>
    <mergeCell ref="B138:C138"/>
    <mergeCell ref="B111:C111"/>
    <mergeCell ref="B112:C112"/>
    <mergeCell ref="B113:C113"/>
    <mergeCell ref="B114:C114"/>
    <mergeCell ref="B122:C122"/>
    <mergeCell ref="B193:C193"/>
    <mergeCell ref="B94:C94"/>
    <mergeCell ref="B117:C117"/>
    <mergeCell ref="B129:C129"/>
    <mergeCell ref="B143:C143"/>
    <mergeCell ref="B142:C142"/>
    <mergeCell ref="B133:C133"/>
    <mergeCell ref="B134:C134"/>
    <mergeCell ref="B135:C135"/>
    <mergeCell ref="B136:C136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3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387</v>
      </c>
      <c r="D14" s="668" t="s">
        <v>12</v>
      </c>
      <c r="E14" s="669"/>
      <c r="F14" s="596" t="s">
        <v>213</v>
      </c>
      <c r="G14" s="597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214</v>
      </c>
      <c r="D16" s="668" t="s">
        <v>17</v>
      </c>
      <c r="E16" s="669"/>
      <c r="F16" s="668" t="s">
        <v>218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22</v>
      </c>
      <c r="D18" s="668" t="s">
        <v>21</v>
      </c>
      <c r="E18" s="669"/>
      <c r="F18" s="668" t="s">
        <v>252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388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389</v>
      </c>
      <c r="D22" s="251" t="s">
        <v>29</v>
      </c>
      <c r="E22" s="252" t="s">
        <v>390</v>
      </c>
      <c r="F22" s="676" t="s">
        <v>30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576</v>
      </c>
      <c r="D24" s="672"/>
      <c r="E24" s="672"/>
      <c r="F24" s="672"/>
      <c r="G24" s="673"/>
    </row>
    <row r="25" spans="1:7" ht="14.25">
      <c r="A25" s="253"/>
      <c r="B25" s="670"/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7" ht="15" customHeight="1">
      <c r="A34" s="260" t="s">
        <v>9</v>
      </c>
      <c r="B34" s="633" t="s">
        <v>577</v>
      </c>
      <c r="C34" s="633"/>
      <c r="D34" s="260" t="s">
        <v>43</v>
      </c>
      <c r="E34" s="261" t="s">
        <v>47</v>
      </c>
      <c r="F34" s="262">
        <f>(F51+F56)/2/22</f>
        <v>1.3247921493798556</v>
      </c>
      <c r="G34" s="263">
        <f>8*F34*2</f>
        <v>21.19667439007769</v>
      </c>
    </row>
    <row r="35" spans="1:7" ht="15" customHeight="1">
      <c r="A35" s="260" t="s">
        <v>45</v>
      </c>
      <c r="B35" s="633" t="s">
        <v>578</v>
      </c>
      <c r="C35" s="633"/>
      <c r="D35" s="260" t="s">
        <v>43</v>
      </c>
      <c r="E35" s="261" t="s">
        <v>225</v>
      </c>
      <c r="F35" s="262">
        <f>(F51+F56)/2/22</f>
        <v>1.3247921493798556</v>
      </c>
      <c r="G35" s="263">
        <f>16*F35*2</f>
        <v>42.39334878015538</v>
      </c>
    </row>
    <row r="36" spans="1:7" ht="15" customHeight="1">
      <c r="A36" s="260" t="s">
        <v>14</v>
      </c>
      <c r="B36" s="633" t="s">
        <v>579</v>
      </c>
      <c r="C36" s="633"/>
      <c r="D36" s="260" t="s">
        <v>43</v>
      </c>
      <c r="E36" s="261" t="s">
        <v>44</v>
      </c>
      <c r="F36" s="262">
        <f>(F51+F56)/2/22</f>
        <v>1.3247921493798556</v>
      </c>
      <c r="G36" s="263">
        <f>4*F36*2</f>
        <v>10.598337195038845</v>
      </c>
    </row>
    <row r="37" spans="1:7" ht="15" customHeight="1">
      <c r="A37" s="260" t="s">
        <v>49</v>
      </c>
      <c r="B37" s="633" t="s">
        <v>580</v>
      </c>
      <c r="C37" s="633"/>
      <c r="D37" s="260" t="s">
        <v>43</v>
      </c>
      <c r="E37" s="261" t="s">
        <v>228</v>
      </c>
      <c r="F37" s="262">
        <f>F51/22</f>
        <v>1.3902139839171324</v>
      </c>
      <c r="G37" s="263">
        <f>E37*F37</f>
        <v>1.3902139839171324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>E38*F38</f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>E39*F39</f>
        <v>0</v>
      </c>
    </row>
    <row r="40" spans="1:7" ht="15.75" customHeight="1">
      <c r="A40" s="639"/>
      <c r="B40" s="664" t="s">
        <v>391</v>
      </c>
      <c r="C40" s="665"/>
      <c r="D40" s="264"/>
      <c r="E40" s="269"/>
      <c r="F40" s="266"/>
      <c r="G40" s="263">
        <f>F40/16</f>
        <v>0</v>
      </c>
    </row>
    <row r="41" spans="1:7" ht="14.25">
      <c r="A41" s="639"/>
      <c r="B41" s="270"/>
      <c r="C41" s="271"/>
      <c r="D41" s="264"/>
      <c r="E41" s="272"/>
      <c r="F41" s="266"/>
      <c r="G41" s="273">
        <f>E41*F41</f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75.57857434918904</v>
      </c>
    </row>
    <row r="43" ht="14.25">
      <c r="A43" s="254"/>
    </row>
    <row r="44" ht="14.25">
      <c r="A44" s="254"/>
    </row>
    <row r="45" ht="14.25">
      <c r="A45" s="254"/>
    </row>
    <row r="46" ht="14.25">
      <c r="A46" s="254"/>
    </row>
    <row r="47" ht="15" thickBot="1">
      <c r="A47" s="254" t="s">
        <v>56</v>
      </c>
    </row>
    <row r="48" spans="1:7" ht="27.75" customHeight="1" thickBot="1">
      <c r="A48" s="637" t="s">
        <v>37</v>
      </c>
      <c r="B48" s="652" t="s">
        <v>57</v>
      </c>
      <c r="C48" s="666"/>
      <c r="D48" s="642" t="s">
        <v>39</v>
      </c>
      <c r="E48" s="642" t="s">
        <v>207</v>
      </c>
      <c r="F48" s="637" t="s">
        <v>58</v>
      </c>
      <c r="G48" s="643" t="s">
        <v>59</v>
      </c>
    </row>
    <row r="49" spans="1:7" ht="15" customHeight="1" thickBot="1">
      <c r="A49" s="638"/>
      <c r="B49" s="274" t="s">
        <v>60</v>
      </c>
      <c r="C49" s="275" t="s">
        <v>61</v>
      </c>
      <c r="D49" s="644"/>
      <c r="E49" s="644"/>
      <c r="F49" s="638"/>
      <c r="G49" s="645"/>
    </row>
    <row r="50" spans="1:7" ht="15" customHeight="1">
      <c r="A50" s="260">
        <v>1</v>
      </c>
      <c r="B50" s="276" t="s">
        <v>392</v>
      </c>
      <c r="C50" s="276"/>
      <c r="D50" s="260" t="s">
        <v>43</v>
      </c>
      <c r="E50" s="261"/>
      <c r="F50" s="86"/>
      <c r="G50" s="263">
        <f>E50*F50</f>
        <v>0</v>
      </c>
    </row>
    <row r="51" spans="1:7" ht="15" customHeight="1">
      <c r="A51" s="260">
        <v>2</v>
      </c>
      <c r="B51" s="276" t="s">
        <v>63</v>
      </c>
      <c r="C51" s="276" t="s">
        <v>414</v>
      </c>
      <c r="D51" s="260" t="s">
        <v>43</v>
      </c>
      <c r="E51" s="261" t="s">
        <v>364</v>
      </c>
      <c r="F51" s="315">
        <f>5100*12/2001</f>
        <v>30.584707646176913</v>
      </c>
      <c r="G51" s="263">
        <f>E51*F51</f>
        <v>489.3553223388306</v>
      </c>
    </row>
    <row r="52" spans="1:7" ht="15" customHeight="1">
      <c r="A52" s="260">
        <v>3</v>
      </c>
      <c r="B52" s="276" t="s">
        <v>309</v>
      </c>
      <c r="C52" s="276" t="s">
        <v>414</v>
      </c>
      <c r="D52" s="260" t="s">
        <v>43</v>
      </c>
      <c r="E52" s="261" t="s">
        <v>240</v>
      </c>
      <c r="F52" s="315">
        <f>5100*12/2001</f>
        <v>30.584707646176913</v>
      </c>
      <c r="G52" s="263">
        <f>E52*F52</f>
        <v>244.6776611694153</v>
      </c>
    </row>
    <row r="53" spans="1:7" ht="15" customHeight="1">
      <c r="A53" s="260">
        <v>4</v>
      </c>
      <c r="B53" s="276" t="s">
        <v>285</v>
      </c>
      <c r="C53" s="277" t="s">
        <v>414</v>
      </c>
      <c r="D53" s="260" t="s">
        <v>43</v>
      </c>
      <c r="E53" s="261" t="s">
        <v>240</v>
      </c>
      <c r="F53" s="315">
        <f>5100*12/2001</f>
        <v>30.584707646176913</v>
      </c>
      <c r="G53" s="263">
        <f>E53*F53</f>
        <v>244.6776611694153</v>
      </c>
    </row>
    <row r="54" spans="1:7" ht="15" customHeight="1">
      <c r="A54" s="260">
        <v>5</v>
      </c>
      <c r="B54" s="276" t="s">
        <v>77</v>
      </c>
      <c r="C54" s="277" t="s">
        <v>414</v>
      </c>
      <c r="D54" s="260" t="s">
        <v>43</v>
      </c>
      <c r="E54" s="261" t="s">
        <v>240</v>
      </c>
      <c r="F54" s="315">
        <f>5100*12/2001</f>
        <v>30.584707646176913</v>
      </c>
      <c r="G54" s="263">
        <f>E54*F54</f>
        <v>244.6776611694153</v>
      </c>
    </row>
    <row r="55" spans="1:9" ht="15.75" customHeight="1">
      <c r="A55" s="260">
        <v>6</v>
      </c>
      <c r="B55" s="276" t="s">
        <v>393</v>
      </c>
      <c r="C55" s="277" t="s">
        <v>394</v>
      </c>
      <c r="D55" s="260" t="s">
        <v>43</v>
      </c>
      <c r="E55" s="261" t="s">
        <v>225</v>
      </c>
      <c r="F55" s="315">
        <f>4386*12/2001</f>
        <v>26.302848575712144</v>
      </c>
      <c r="G55" s="316">
        <f>16*F55*2</f>
        <v>841.6911544227886</v>
      </c>
      <c r="H55" s="317"/>
      <c r="I55" s="440" t="s">
        <v>537</v>
      </c>
    </row>
    <row r="56" spans="1:9" ht="15.75" customHeight="1">
      <c r="A56" s="260">
        <v>7</v>
      </c>
      <c r="B56" s="276" t="s">
        <v>70</v>
      </c>
      <c r="C56" s="277" t="s">
        <v>302</v>
      </c>
      <c r="D56" s="260" t="s">
        <v>43</v>
      </c>
      <c r="E56" s="261" t="s">
        <v>364</v>
      </c>
      <c r="F56" s="315">
        <f>4620*12/2001</f>
        <v>27.706146926536732</v>
      </c>
      <c r="G56" s="316">
        <f>E56*F56</f>
        <v>443.2983508245877</v>
      </c>
      <c r="H56" s="317"/>
      <c r="I56" s="318"/>
    </row>
    <row r="57" spans="1:9" ht="15.75" customHeight="1">
      <c r="A57" s="260">
        <v>8</v>
      </c>
      <c r="B57" s="276" t="s">
        <v>75</v>
      </c>
      <c r="C57" s="277" t="s">
        <v>395</v>
      </c>
      <c r="D57" s="260" t="s">
        <v>43</v>
      </c>
      <c r="E57" s="261" t="s">
        <v>261</v>
      </c>
      <c r="F57" s="315">
        <f>3301*12/2001</f>
        <v>19.796101949025488</v>
      </c>
      <c r="G57" s="316">
        <f>E57*F57</f>
        <v>79.18440779610195</v>
      </c>
      <c r="H57" s="317"/>
      <c r="I57" s="318" t="s">
        <v>485</v>
      </c>
    </row>
    <row r="58" spans="1:9" ht="15" customHeight="1">
      <c r="A58" s="260">
        <v>9</v>
      </c>
      <c r="B58" s="276" t="s">
        <v>80</v>
      </c>
      <c r="C58" s="277" t="s">
        <v>262</v>
      </c>
      <c r="D58" s="260" t="s">
        <v>43</v>
      </c>
      <c r="E58" s="261" t="s">
        <v>240</v>
      </c>
      <c r="F58" s="315">
        <f>3160*12/2001</f>
        <v>18.950524737631184</v>
      </c>
      <c r="G58" s="316">
        <f>E58*F58</f>
        <v>151.60419790104947</v>
      </c>
      <c r="H58" s="317"/>
      <c r="I58" s="318"/>
    </row>
    <row r="59" spans="1:9" ht="15" customHeight="1">
      <c r="A59" s="260">
        <v>10</v>
      </c>
      <c r="B59" s="276" t="s">
        <v>581</v>
      </c>
      <c r="C59" s="277" t="s">
        <v>395</v>
      </c>
      <c r="D59" s="260" t="s">
        <v>43</v>
      </c>
      <c r="E59" s="261" t="s">
        <v>582</v>
      </c>
      <c r="F59" s="315">
        <f>3270*12/2001</f>
        <v>19.610194902548727</v>
      </c>
      <c r="G59" s="316">
        <f>E59*F59</f>
        <v>9.805097451274364</v>
      </c>
      <c r="H59" s="317"/>
      <c r="I59" s="318"/>
    </row>
    <row r="60" spans="1:9" ht="15" customHeight="1">
      <c r="A60" s="260">
        <v>11</v>
      </c>
      <c r="B60" s="276" t="s">
        <v>583</v>
      </c>
      <c r="C60" s="277" t="s">
        <v>395</v>
      </c>
      <c r="D60" s="260" t="s">
        <v>43</v>
      </c>
      <c r="E60" s="261" t="s">
        <v>228</v>
      </c>
      <c r="F60" s="315">
        <f>3060*12/2001</f>
        <v>18.350824587706146</v>
      </c>
      <c r="G60" s="316">
        <f>E60*F60</f>
        <v>18.350824587706146</v>
      </c>
      <c r="H60" s="317"/>
      <c r="I60" s="318"/>
    </row>
    <row r="61" spans="1:7" ht="15" customHeight="1">
      <c r="A61" s="260"/>
      <c r="B61" s="276" t="s">
        <v>82</v>
      </c>
      <c r="C61" s="276"/>
      <c r="D61" s="260"/>
      <c r="E61" s="261"/>
      <c r="F61" s="260"/>
      <c r="G61" s="263">
        <f>SUM(G50:G60)</f>
        <v>2767.3223388305846</v>
      </c>
    </row>
    <row r="62" ht="15" customHeight="1">
      <c r="A62" s="278"/>
    </row>
    <row r="63" ht="15" thickBot="1">
      <c r="A63" s="254" t="s">
        <v>83</v>
      </c>
    </row>
    <row r="64" spans="1:7" ht="28.5" customHeight="1" thickBot="1">
      <c r="A64" s="279" t="s">
        <v>37</v>
      </c>
      <c r="B64" s="652" t="s">
        <v>38</v>
      </c>
      <c r="C64" s="653"/>
      <c r="D64" s="280" t="s">
        <v>39</v>
      </c>
      <c r="E64" s="280" t="s">
        <v>207</v>
      </c>
      <c r="F64" s="280" t="s">
        <v>58</v>
      </c>
      <c r="G64" s="280" t="s">
        <v>59</v>
      </c>
    </row>
    <row r="65" spans="1:8" ht="15" customHeight="1">
      <c r="A65" s="272" t="s">
        <v>9</v>
      </c>
      <c r="B65" s="634" t="s">
        <v>84</v>
      </c>
      <c r="C65" s="634"/>
      <c r="D65" s="272" t="s">
        <v>85</v>
      </c>
      <c r="E65" s="259"/>
      <c r="F65" s="259"/>
      <c r="G65" s="281">
        <f>(G42+G61)*0.23</f>
        <v>653.867210031348</v>
      </c>
      <c r="H65" s="282"/>
    </row>
    <row r="66" spans="1:7" ht="15" customHeight="1">
      <c r="A66" s="260" t="s">
        <v>45</v>
      </c>
      <c r="B66" s="633" t="s">
        <v>539</v>
      </c>
      <c r="C66" s="633"/>
      <c r="D66" s="260" t="s">
        <v>85</v>
      </c>
      <c r="E66" s="283"/>
      <c r="F66" s="283"/>
      <c r="G66" s="263">
        <f>(G42+G61)*0.04</f>
        <v>113.71603652719095</v>
      </c>
    </row>
    <row r="67" ht="18" customHeight="1">
      <c r="A67" s="278"/>
    </row>
    <row r="68" ht="15" thickBot="1">
      <c r="A68" s="254" t="s">
        <v>87</v>
      </c>
    </row>
    <row r="69" spans="1:7" ht="27" customHeight="1" thickBot="1">
      <c r="A69" s="256" t="s">
        <v>37</v>
      </c>
      <c r="B69" s="642" t="s">
        <v>38</v>
      </c>
      <c r="C69" s="643"/>
      <c r="D69" s="255" t="s">
        <v>39</v>
      </c>
      <c r="E69" s="284" t="s">
        <v>207</v>
      </c>
      <c r="F69" s="256" t="s">
        <v>58</v>
      </c>
      <c r="G69" s="256" t="s">
        <v>59</v>
      </c>
    </row>
    <row r="70" spans="1:7" ht="15" customHeight="1">
      <c r="A70" s="650"/>
      <c r="B70" s="650"/>
      <c r="C70" s="650"/>
      <c r="D70" s="285"/>
      <c r="E70" s="285"/>
      <c r="F70" s="286"/>
      <c r="G70" s="286"/>
    </row>
    <row r="71" spans="1:7" ht="14.25">
      <c r="A71" s="649" t="s">
        <v>88</v>
      </c>
      <c r="B71" s="649"/>
      <c r="C71" s="649"/>
      <c r="D71" s="264"/>
      <c r="E71" s="264"/>
      <c r="F71" s="266"/>
      <c r="G71" s="266"/>
    </row>
    <row r="72" spans="1:7" ht="15" customHeight="1">
      <c r="A72" s="288" t="s">
        <v>9</v>
      </c>
      <c r="B72" s="633" t="s">
        <v>584</v>
      </c>
      <c r="C72" s="633"/>
      <c r="D72" s="260"/>
      <c r="E72" s="260"/>
      <c r="F72" s="260"/>
      <c r="G72" s="260"/>
    </row>
    <row r="73" spans="1:7" ht="15" customHeight="1">
      <c r="A73" s="288" t="s">
        <v>45</v>
      </c>
      <c r="B73" s="633" t="s">
        <v>90</v>
      </c>
      <c r="C73" s="633"/>
      <c r="D73" s="260" t="s">
        <v>91</v>
      </c>
      <c r="E73" s="260"/>
      <c r="F73" s="319"/>
      <c r="G73" s="263"/>
    </row>
    <row r="74" spans="1:7" ht="15" customHeight="1">
      <c r="A74" s="288" t="s">
        <v>14</v>
      </c>
      <c r="B74" s="633" t="s">
        <v>92</v>
      </c>
      <c r="C74" s="633"/>
      <c r="D74" s="260" t="s">
        <v>91</v>
      </c>
      <c r="E74" s="260"/>
      <c r="F74" s="319"/>
      <c r="G74" s="263"/>
    </row>
    <row r="75" spans="1:7" ht="15" customHeight="1">
      <c r="A75" s="288" t="s">
        <v>49</v>
      </c>
      <c r="B75" s="633" t="s">
        <v>93</v>
      </c>
      <c r="C75" s="633"/>
      <c r="D75" s="260" t="s">
        <v>91</v>
      </c>
      <c r="E75" s="260"/>
      <c r="F75" s="319"/>
      <c r="G75" s="263"/>
    </row>
    <row r="76" spans="1:7" ht="15" customHeight="1">
      <c r="A76" s="288" t="s">
        <v>19</v>
      </c>
      <c r="B76" s="633" t="s">
        <v>396</v>
      </c>
      <c r="C76" s="633"/>
      <c r="D76" s="260"/>
      <c r="E76" s="260"/>
      <c r="F76" s="260"/>
      <c r="G76" s="260"/>
    </row>
    <row r="77" spans="1:7" ht="15" customHeight="1">
      <c r="A77" s="288"/>
      <c r="B77" s="636" t="s">
        <v>95</v>
      </c>
      <c r="C77" s="636"/>
      <c r="D77" s="289" t="s">
        <v>96</v>
      </c>
      <c r="E77" s="289"/>
      <c r="F77" s="289"/>
      <c r="G77" s="289"/>
    </row>
    <row r="78" spans="1:7" ht="15" customHeight="1">
      <c r="A78" s="288"/>
      <c r="B78" s="636" t="s">
        <v>97</v>
      </c>
      <c r="C78" s="636"/>
      <c r="D78" s="289" t="s">
        <v>91</v>
      </c>
      <c r="E78" s="289"/>
      <c r="F78" s="289"/>
      <c r="G78" s="289"/>
    </row>
    <row r="79" spans="1:7" ht="15" customHeight="1">
      <c r="A79" s="288"/>
      <c r="B79" s="636" t="s">
        <v>98</v>
      </c>
      <c r="C79" s="636"/>
      <c r="D79" s="289" t="s">
        <v>85</v>
      </c>
      <c r="E79" s="289"/>
      <c r="F79" s="289"/>
      <c r="G79" s="290"/>
    </row>
    <row r="80" spans="1:9" ht="15" customHeight="1">
      <c r="A80" s="288" t="s">
        <v>54</v>
      </c>
      <c r="B80" s="633" t="s">
        <v>397</v>
      </c>
      <c r="C80" s="633"/>
      <c r="D80" s="289"/>
      <c r="E80" s="289"/>
      <c r="F80" s="289"/>
      <c r="G80" s="289"/>
      <c r="I80" s="291"/>
    </row>
    <row r="81" spans="1:9" ht="15" customHeight="1">
      <c r="A81" s="288"/>
      <c r="B81" s="636" t="s">
        <v>97</v>
      </c>
      <c r="C81" s="636"/>
      <c r="D81" s="289" t="s">
        <v>91</v>
      </c>
      <c r="E81" s="289"/>
      <c r="F81" s="289"/>
      <c r="G81" s="289"/>
      <c r="I81" s="291"/>
    </row>
    <row r="82" spans="1:9" ht="15" customHeight="1">
      <c r="A82" s="288"/>
      <c r="B82" s="636" t="s">
        <v>100</v>
      </c>
      <c r="C82" s="636"/>
      <c r="D82" s="289" t="s">
        <v>101</v>
      </c>
      <c r="E82" s="320"/>
      <c r="F82" s="321"/>
      <c r="G82" s="290"/>
      <c r="I82" s="291"/>
    </row>
    <row r="83" spans="1:7" ht="15" customHeight="1">
      <c r="A83" s="288"/>
      <c r="B83" s="636" t="s">
        <v>102</v>
      </c>
      <c r="C83" s="636"/>
      <c r="D83" s="289" t="s">
        <v>91</v>
      </c>
      <c r="E83" s="321"/>
      <c r="F83" s="321"/>
      <c r="G83" s="290"/>
    </row>
    <row r="84" spans="1:7" ht="14.25" customHeight="1">
      <c r="A84" s="649"/>
      <c r="B84" s="649"/>
      <c r="C84" s="649"/>
      <c r="D84" s="294"/>
      <c r="E84" s="294"/>
      <c r="F84" s="294"/>
      <c r="G84" s="294"/>
    </row>
    <row r="85" spans="1:7" ht="14.25">
      <c r="A85" s="649" t="s">
        <v>398</v>
      </c>
      <c r="B85" s="649"/>
      <c r="C85" s="649"/>
      <c r="D85" s="294"/>
      <c r="E85" s="294"/>
      <c r="F85" s="294"/>
      <c r="G85" s="294"/>
    </row>
    <row r="86" spans="1:7" ht="15" customHeight="1">
      <c r="A86" s="288"/>
      <c r="B86" s="636" t="s">
        <v>399</v>
      </c>
      <c r="C86" s="636"/>
      <c r="D86" s="289" t="s">
        <v>91</v>
      </c>
      <c r="E86" s="289">
        <v>16</v>
      </c>
      <c r="F86" s="289"/>
      <c r="G86" s="289"/>
    </row>
    <row r="87" spans="1:7" ht="15" customHeight="1">
      <c r="A87" s="288"/>
      <c r="B87" s="636" t="s">
        <v>104</v>
      </c>
      <c r="C87" s="636"/>
      <c r="D87" s="289" t="s">
        <v>101</v>
      </c>
      <c r="E87" s="289">
        <v>1.35</v>
      </c>
      <c r="F87" s="289">
        <v>1.68</v>
      </c>
      <c r="G87" s="290">
        <f>E86*E87*F87</f>
        <v>36.288000000000004</v>
      </c>
    </row>
    <row r="88" spans="1:7" ht="14.25" customHeight="1">
      <c r="A88" s="288"/>
      <c r="B88" s="636" t="s">
        <v>105</v>
      </c>
      <c r="C88" s="636"/>
      <c r="D88" s="289" t="s">
        <v>85</v>
      </c>
      <c r="E88" s="289"/>
      <c r="F88" s="289">
        <v>11.8</v>
      </c>
      <c r="G88" s="290">
        <f>E86*F88</f>
        <v>188.8</v>
      </c>
    </row>
    <row r="89" spans="1:7" ht="15" customHeight="1">
      <c r="A89" s="649"/>
      <c r="B89" s="649"/>
      <c r="C89" s="649"/>
      <c r="D89" s="294"/>
      <c r="E89" s="294"/>
      <c r="F89" s="294"/>
      <c r="G89" s="295"/>
    </row>
    <row r="90" spans="1:7" ht="14.25">
      <c r="A90" s="649" t="s">
        <v>106</v>
      </c>
      <c r="B90" s="649"/>
      <c r="C90" s="649"/>
      <c r="D90" s="294"/>
      <c r="E90" s="294"/>
      <c r="F90" s="294"/>
      <c r="G90" s="295"/>
    </row>
    <row r="91" spans="1:7" ht="15" customHeight="1">
      <c r="A91" s="288"/>
      <c r="B91" s="636" t="s">
        <v>97</v>
      </c>
      <c r="C91" s="636"/>
      <c r="D91" s="289" t="s">
        <v>91</v>
      </c>
      <c r="E91" s="289">
        <v>6</v>
      </c>
      <c r="F91" s="289"/>
      <c r="G91" s="290"/>
    </row>
    <row r="92" spans="1:7" ht="15" customHeight="1">
      <c r="A92" s="288"/>
      <c r="B92" s="636" t="s">
        <v>104</v>
      </c>
      <c r="C92" s="636"/>
      <c r="D92" s="289" t="s">
        <v>101</v>
      </c>
      <c r="E92" s="289">
        <v>0.5</v>
      </c>
      <c r="F92" s="289">
        <v>1.68</v>
      </c>
      <c r="G92" s="290">
        <f>E91*E92*F92</f>
        <v>5.04</v>
      </c>
    </row>
    <row r="93" spans="1:7" ht="14.25" customHeight="1">
      <c r="A93" s="288"/>
      <c r="B93" s="636" t="s">
        <v>107</v>
      </c>
      <c r="C93" s="636"/>
      <c r="D93" s="289" t="s">
        <v>85</v>
      </c>
      <c r="E93" s="289"/>
      <c r="F93" s="289">
        <v>0.6</v>
      </c>
      <c r="G93" s="290">
        <f>E91*F93</f>
        <v>3.5999999999999996</v>
      </c>
    </row>
    <row r="95" spans="1:7" ht="15.75">
      <c r="A95" s="649" t="s">
        <v>208</v>
      </c>
      <c r="B95" s="649"/>
      <c r="C95" s="649"/>
      <c r="D95" s="264"/>
      <c r="E95" s="264"/>
      <c r="F95" s="266"/>
      <c r="G95" s="266"/>
    </row>
    <row r="96" spans="1:7" ht="18.75" customHeight="1">
      <c r="A96" s="276"/>
      <c r="B96" s="651"/>
      <c r="C96" s="651"/>
      <c r="D96" s="260"/>
      <c r="E96" s="260"/>
      <c r="F96" s="260"/>
      <c r="G96" s="260"/>
    </row>
    <row r="97" spans="1:7" ht="18.75" customHeight="1">
      <c r="A97" s="276"/>
      <c r="B97" s="631"/>
      <c r="C97" s="632"/>
      <c r="D97" s="260"/>
      <c r="E97" s="260"/>
      <c r="F97" s="260"/>
      <c r="G97" s="260"/>
    </row>
    <row r="98" spans="1:7" ht="14.25">
      <c r="A98" s="276"/>
      <c r="B98" s="631"/>
      <c r="C98" s="632"/>
      <c r="D98" s="260"/>
      <c r="E98" s="261"/>
      <c r="F98" s="260"/>
      <c r="G98" s="263">
        <f>SUM(G96:G97)</f>
        <v>0</v>
      </c>
    </row>
    <row r="99" spans="1:7" ht="14.25" customHeight="1">
      <c r="A99" s="260"/>
      <c r="B99" s="631" t="s">
        <v>108</v>
      </c>
      <c r="C99" s="632"/>
      <c r="D99" s="260"/>
      <c r="E99" s="261"/>
      <c r="F99" s="260"/>
      <c r="G99" s="263">
        <f>SUM(G73:G98)</f>
        <v>233.728</v>
      </c>
    </row>
    <row r="100" spans="1:7" ht="12.75">
      <c r="A100" s="296"/>
      <c r="B100" s="296"/>
      <c r="C100" s="296"/>
      <c r="D100" s="296"/>
      <c r="E100" s="296"/>
      <c r="F100" s="296"/>
      <c r="G100" s="296"/>
    </row>
    <row r="101" ht="15" thickBot="1">
      <c r="A101" s="254" t="s">
        <v>110</v>
      </c>
    </row>
    <row r="102" spans="1:7" ht="26.25" customHeight="1" thickBot="1">
      <c r="A102" s="279" t="s">
        <v>37</v>
      </c>
      <c r="B102" s="297" t="s">
        <v>38</v>
      </c>
      <c r="C102" s="298"/>
      <c r="D102" s="299" t="s">
        <v>39</v>
      </c>
      <c r="E102" s="280" t="s">
        <v>207</v>
      </c>
      <c r="F102" s="280" t="s">
        <v>58</v>
      </c>
      <c r="G102" s="280" t="s">
        <v>59</v>
      </c>
    </row>
    <row r="103" spans="1:7" ht="15" customHeight="1">
      <c r="A103" s="272" t="s">
        <v>9</v>
      </c>
      <c r="B103" s="634" t="s">
        <v>111</v>
      </c>
      <c r="C103" s="634"/>
      <c r="D103" s="300" t="s">
        <v>91</v>
      </c>
      <c r="E103" s="300"/>
      <c r="F103" s="300"/>
      <c r="G103" s="272"/>
    </row>
    <row r="104" spans="1:7" ht="15" customHeight="1">
      <c r="A104" s="260" t="s">
        <v>45</v>
      </c>
      <c r="B104" s="633" t="s">
        <v>112</v>
      </c>
      <c r="C104" s="633"/>
      <c r="D104" s="289" t="s">
        <v>91</v>
      </c>
      <c r="E104" s="289"/>
      <c r="F104" s="289"/>
      <c r="G104" s="260"/>
    </row>
    <row r="105" spans="1:7" ht="15" customHeight="1">
      <c r="A105" s="260" t="s">
        <v>14</v>
      </c>
      <c r="B105" s="633" t="s">
        <v>113</v>
      </c>
      <c r="C105" s="633"/>
      <c r="D105" s="289" t="s">
        <v>91</v>
      </c>
      <c r="E105" s="289"/>
      <c r="F105" s="289"/>
      <c r="G105" s="260"/>
    </row>
    <row r="106" spans="1:7" ht="15" customHeight="1">
      <c r="A106" s="260" t="s">
        <v>49</v>
      </c>
      <c r="B106" s="633" t="s">
        <v>94</v>
      </c>
      <c r="C106" s="633"/>
      <c r="D106" s="289"/>
      <c r="E106" s="289"/>
      <c r="F106" s="289"/>
      <c r="G106" s="289"/>
    </row>
    <row r="107" spans="1:7" ht="15" customHeight="1">
      <c r="A107" s="260"/>
      <c r="B107" s="636" t="s">
        <v>95</v>
      </c>
      <c r="C107" s="636"/>
      <c r="D107" s="289" t="s">
        <v>96</v>
      </c>
      <c r="E107" s="289">
        <v>2</v>
      </c>
      <c r="F107" s="289"/>
      <c r="G107" s="289"/>
    </row>
    <row r="108" spans="1:7" ht="15" customHeight="1">
      <c r="A108" s="260"/>
      <c r="B108" s="636" t="s">
        <v>97</v>
      </c>
      <c r="C108" s="636"/>
      <c r="D108" s="289" t="s">
        <v>91</v>
      </c>
      <c r="E108" s="289">
        <v>16</v>
      </c>
      <c r="F108" s="289"/>
      <c r="G108" s="289"/>
    </row>
    <row r="109" spans="1:7" ht="15" customHeight="1">
      <c r="A109" s="260"/>
      <c r="B109" s="636" t="s">
        <v>114</v>
      </c>
      <c r="C109" s="636"/>
      <c r="D109" s="289" t="s">
        <v>85</v>
      </c>
      <c r="E109" s="289"/>
      <c r="F109" s="289">
        <v>16.04</v>
      </c>
      <c r="G109" s="290">
        <f>E107*E108*F109</f>
        <v>513.28</v>
      </c>
    </row>
    <row r="110" spans="1:7" ht="15" customHeight="1">
      <c r="A110" s="260" t="s">
        <v>19</v>
      </c>
      <c r="B110" s="635" t="s">
        <v>115</v>
      </c>
      <c r="C110" s="635"/>
      <c r="D110" s="289"/>
      <c r="E110" s="289"/>
      <c r="F110" s="289"/>
      <c r="G110" s="289"/>
    </row>
    <row r="111" spans="1:7" ht="15" customHeight="1">
      <c r="A111" s="260"/>
      <c r="B111" s="636" t="s">
        <v>116</v>
      </c>
      <c r="C111" s="636"/>
      <c r="D111" s="289" t="s">
        <v>117</v>
      </c>
      <c r="E111" s="289">
        <v>2</v>
      </c>
      <c r="F111" s="289"/>
      <c r="G111" s="289"/>
    </row>
    <row r="112" spans="1:7" ht="15" customHeight="1">
      <c r="A112" s="260"/>
      <c r="B112" s="636" t="s">
        <v>118</v>
      </c>
      <c r="C112" s="636"/>
      <c r="D112" s="289" t="s">
        <v>85</v>
      </c>
      <c r="E112" s="289">
        <v>10</v>
      </c>
      <c r="F112" s="293">
        <f>(14249.86+97346.65)/73/12/193*0.5</f>
        <v>0.3300343944448388</v>
      </c>
      <c r="G112" s="290">
        <f>E111*E112*F112</f>
        <v>6.6006878888967755</v>
      </c>
    </row>
    <row r="113" spans="1:7" ht="15" customHeight="1">
      <c r="A113" s="260" t="s">
        <v>54</v>
      </c>
      <c r="B113" s="635" t="s">
        <v>119</v>
      </c>
      <c r="C113" s="635"/>
      <c r="D113" s="289"/>
      <c r="E113" s="289"/>
      <c r="F113" s="289"/>
      <c r="G113" s="289"/>
    </row>
    <row r="114" spans="1:7" ht="15" customHeight="1">
      <c r="A114" s="260"/>
      <c r="B114" s="636" t="s">
        <v>120</v>
      </c>
      <c r="C114" s="636"/>
      <c r="D114" s="289" t="s">
        <v>117</v>
      </c>
      <c r="E114" s="289"/>
      <c r="F114" s="289"/>
      <c r="G114" s="289"/>
    </row>
    <row r="115" spans="1:7" ht="15" customHeight="1">
      <c r="A115" s="260"/>
      <c r="B115" s="636" t="s">
        <v>121</v>
      </c>
      <c r="C115" s="636"/>
      <c r="D115" s="289" t="s">
        <v>85</v>
      </c>
      <c r="E115" s="289"/>
      <c r="F115" s="289"/>
      <c r="G115" s="289"/>
    </row>
    <row r="116" spans="1:7" ht="15" customHeight="1">
      <c r="A116" s="260" t="s">
        <v>22</v>
      </c>
      <c r="B116" s="635" t="s">
        <v>99</v>
      </c>
      <c r="C116" s="635"/>
      <c r="D116" s="289"/>
      <c r="E116" s="289"/>
      <c r="F116" s="289"/>
      <c r="G116" s="289"/>
    </row>
    <row r="117" spans="1:7" ht="15" customHeight="1">
      <c r="A117" s="260"/>
      <c r="B117" s="636" t="s">
        <v>97</v>
      </c>
      <c r="C117" s="636"/>
      <c r="D117" s="289" t="s">
        <v>91</v>
      </c>
      <c r="E117" s="290">
        <v>6</v>
      </c>
      <c r="F117" s="289"/>
      <c r="G117" s="289"/>
    </row>
    <row r="118" spans="1:7" ht="15" customHeight="1">
      <c r="A118" s="260"/>
      <c r="B118" s="636" t="s">
        <v>102</v>
      </c>
      <c r="C118" s="636"/>
      <c r="D118" s="289" t="s">
        <v>85</v>
      </c>
      <c r="E118" s="289"/>
      <c r="F118" s="289">
        <v>3.71</v>
      </c>
      <c r="G118" s="290">
        <f>E117*F118</f>
        <v>22.259999999999998</v>
      </c>
    </row>
    <row r="119" spans="1:7" ht="14.25" customHeight="1">
      <c r="A119" s="260" t="s">
        <v>72</v>
      </c>
      <c r="B119" s="635" t="s">
        <v>400</v>
      </c>
      <c r="C119" s="635"/>
      <c r="D119" s="289"/>
      <c r="E119" s="289"/>
      <c r="F119" s="289"/>
      <c r="G119" s="289"/>
    </row>
    <row r="120" spans="1:7" ht="15" customHeight="1">
      <c r="A120" s="301"/>
      <c r="B120" s="636" t="s">
        <v>116</v>
      </c>
      <c r="C120" s="636"/>
      <c r="D120" s="289" t="s">
        <v>117</v>
      </c>
      <c r="E120" s="289"/>
      <c r="F120" s="289"/>
      <c r="G120" s="289"/>
    </row>
    <row r="121" spans="1:7" ht="15" customHeight="1">
      <c r="A121" s="301"/>
      <c r="B121" s="636" t="s">
        <v>118</v>
      </c>
      <c r="C121" s="636"/>
      <c r="D121" s="289" t="s">
        <v>85</v>
      </c>
      <c r="E121" s="289"/>
      <c r="F121" s="293"/>
      <c r="G121" s="290"/>
    </row>
    <row r="122" spans="1:7" ht="18.75" customHeight="1">
      <c r="A122" s="260"/>
      <c r="B122" s="631" t="s">
        <v>123</v>
      </c>
      <c r="C122" s="632"/>
      <c r="D122" s="260"/>
      <c r="E122" s="261"/>
      <c r="F122" s="260"/>
      <c r="G122" s="263">
        <f>SUM(G103:G121)</f>
        <v>542.1406878888968</v>
      </c>
    </row>
    <row r="123" ht="18.75" customHeight="1">
      <c r="A123" s="245"/>
    </row>
    <row r="124" ht="18.75" customHeight="1">
      <c r="A124" s="254" t="s">
        <v>124</v>
      </c>
    </row>
    <row r="125" ht="15" thickBot="1">
      <c r="A125" s="254"/>
    </row>
    <row r="126" spans="1:9" ht="29.25" customHeight="1" thickBot="1">
      <c r="A126" s="279" t="s">
        <v>37</v>
      </c>
      <c r="B126" s="297" t="s">
        <v>38</v>
      </c>
      <c r="C126" s="298"/>
      <c r="D126" s="299" t="s">
        <v>39</v>
      </c>
      <c r="E126" s="302" t="s">
        <v>207</v>
      </c>
      <c r="F126" s="280" t="s">
        <v>58</v>
      </c>
      <c r="G126" s="280" t="s">
        <v>59</v>
      </c>
      <c r="H126" s="303"/>
      <c r="I126" s="304"/>
    </row>
    <row r="127" spans="1:9" ht="15" customHeight="1">
      <c r="A127" s="272" t="s">
        <v>9</v>
      </c>
      <c r="B127" s="634" t="s">
        <v>401</v>
      </c>
      <c r="C127" s="634"/>
      <c r="D127" s="300" t="s">
        <v>96</v>
      </c>
      <c r="E127" s="300">
        <v>1</v>
      </c>
      <c r="F127" s="300"/>
      <c r="G127" s="300"/>
      <c r="H127" s="266"/>
      <c r="I127" s="304"/>
    </row>
    <row r="128" spans="1:9" ht="15" customHeight="1">
      <c r="A128" s="260" t="s">
        <v>45</v>
      </c>
      <c r="B128" s="633" t="s">
        <v>126</v>
      </c>
      <c r="C128" s="633"/>
      <c r="D128" s="289" t="s">
        <v>127</v>
      </c>
      <c r="E128" s="289">
        <v>100</v>
      </c>
      <c r="F128" s="289"/>
      <c r="G128" s="289"/>
      <c r="H128" s="266"/>
      <c r="I128" s="304"/>
    </row>
    <row r="129" spans="1:9" ht="16.5" customHeight="1">
      <c r="A129" s="260" t="s">
        <v>14</v>
      </c>
      <c r="B129" s="633" t="s">
        <v>128</v>
      </c>
      <c r="C129" s="633"/>
      <c r="D129" s="289" t="s">
        <v>91</v>
      </c>
      <c r="E129" s="289">
        <v>10</v>
      </c>
      <c r="F129" s="293">
        <f>1880.95/712.5</f>
        <v>2.6399298245614036</v>
      </c>
      <c r="G129" s="290">
        <f>E127*E129*F129</f>
        <v>26.399298245614034</v>
      </c>
      <c r="H129" s="266"/>
      <c r="I129" s="304"/>
    </row>
    <row r="130" spans="1:9" ht="14.25" customHeight="1">
      <c r="A130" s="260" t="s">
        <v>49</v>
      </c>
      <c r="B130" s="633" t="s">
        <v>130</v>
      </c>
      <c r="C130" s="633"/>
      <c r="D130" s="289" t="s">
        <v>131</v>
      </c>
      <c r="E130" s="289"/>
      <c r="F130" s="289"/>
      <c r="G130" s="290"/>
      <c r="H130" s="266"/>
      <c r="I130" s="304"/>
    </row>
    <row r="131" spans="1:9" ht="15" customHeight="1">
      <c r="A131" s="260"/>
      <c r="B131" s="633" t="s">
        <v>132</v>
      </c>
      <c r="C131" s="633"/>
      <c r="D131" s="289" t="s">
        <v>131</v>
      </c>
      <c r="E131" s="289"/>
      <c r="F131" s="289"/>
      <c r="G131" s="290"/>
      <c r="H131" s="266"/>
      <c r="I131" s="304"/>
    </row>
    <row r="132" spans="1:9" ht="15">
      <c r="A132" s="260"/>
      <c r="B132" s="633" t="s">
        <v>133</v>
      </c>
      <c r="C132" s="633"/>
      <c r="D132" s="289" t="s">
        <v>131</v>
      </c>
      <c r="E132" s="289">
        <f>6.6/100*E128</f>
        <v>6.6000000000000005</v>
      </c>
      <c r="F132" s="289">
        <v>15.83</v>
      </c>
      <c r="G132" s="290">
        <f>E132*F132</f>
        <v>104.47800000000001</v>
      </c>
      <c r="H132" s="266"/>
      <c r="I132" s="304"/>
    </row>
    <row r="133" spans="1:9" ht="15">
      <c r="A133" s="260"/>
      <c r="B133" s="633" t="s">
        <v>134</v>
      </c>
      <c r="C133" s="633"/>
      <c r="D133" s="289" t="s">
        <v>131</v>
      </c>
      <c r="E133" s="289"/>
      <c r="F133" s="289"/>
      <c r="G133" s="290"/>
      <c r="H133" s="266"/>
      <c r="I133" s="304"/>
    </row>
    <row r="134" spans="1:9" ht="15">
      <c r="A134" s="260"/>
      <c r="B134" s="631" t="s">
        <v>135</v>
      </c>
      <c r="C134" s="632"/>
      <c r="D134" s="260"/>
      <c r="E134" s="261"/>
      <c r="F134" s="260"/>
      <c r="G134" s="263">
        <f>SUM(G127:G133)</f>
        <v>130.87729824561404</v>
      </c>
      <c r="H134" s="266"/>
      <c r="I134" s="304"/>
    </row>
    <row r="135" spans="1:9" ht="12.75">
      <c r="A135" s="296"/>
      <c r="B135" s="296"/>
      <c r="C135" s="296"/>
      <c r="D135" s="296"/>
      <c r="E135" s="296"/>
      <c r="F135" s="296"/>
      <c r="G135" s="296"/>
      <c r="H135" s="296"/>
      <c r="I135" s="296"/>
    </row>
    <row r="136" ht="15" thickBot="1">
      <c r="A136" s="254" t="s">
        <v>136</v>
      </c>
    </row>
    <row r="137" spans="1:7" ht="28.5" customHeight="1" thickBot="1">
      <c r="A137" s="279" t="s">
        <v>37</v>
      </c>
      <c r="B137" s="297" t="s">
        <v>38</v>
      </c>
      <c r="C137" s="298"/>
      <c r="D137" s="280" t="s">
        <v>39</v>
      </c>
      <c r="E137" s="280" t="s">
        <v>207</v>
      </c>
      <c r="F137" s="280" t="s">
        <v>58</v>
      </c>
      <c r="G137" s="280" t="s">
        <v>59</v>
      </c>
    </row>
    <row r="138" spans="1:7" ht="14.25" customHeight="1">
      <c r="A138" s="272" t="s">
        <v>9</v>
      </c>
      <c r="B138" s="634" t="s">
        <v>585</v>
      </c>
      <c r="C138" s="634"/>
      <c r="D138" s="272"/>
      <c r="E138" s="300">
        <v>5</v>
      </c>
      <c r="F138" s="300"/>
      <c r="G138" s="300"/>
    </row>
    <row r="139" spans="1:7" ht="14.25" customHeight="1">
      <c r="A139" s="260" t="s">
        <v>45</v>
      </c>
      <c r="B139" s="633" t="s">
        <v>139</v>
      </c>
      <c r="C139" s="633"/>
      <c r="D139" s="648"/>
      <c r="E139" s="648"/>
      <c r="F139" s="648"/>
      <c r="G139" s="648"/>
    </row>
    <row r="140" spans="1:7" ht="14.25" customHeight="1">
      <c r="A140" s="260" t="s">
        <v>14</v>
      </c>
      <c r="B140" s="633" t="s">
        <v>140</v>
      </c>
      <c r="C140" s="633"/>
      <c r="D140" s="648"/>
      <c r="E140" s="648"/>
      <c r="F140" s="648"/>
      <c r="G140" s="648"/>
    </row>
    <row r="141" spans="1:7" ht="15" customHeight="1">
      <c r="A141" s="260" t="s">
        <v>49</v>
      </c>
      <c r="B141" s="633" t="s">
        <v>141</v>
      </c>
      <c r="C141" s="633"/>
      <c r="D141" s="260" t="s">
        <v>402</v>
      </c>
      <c r="E141" s="289">
        <v>1</v>
      </c>
      <c r="F141" s="289">
        <v>25</v>
      </c>
      <c r="G141" s="290">
        <f>E141*F141*E138</f>
        <v>125</v>
      </c>
    </row>
    <row r="142" spans="1:7" ht="15" customHeight="1">
      <c r="A142" s="260" t="s">
        <v>19</v>
      </c>
      <c r="B142" s="633" t="s">
        <v>142</v>
      </c>
      <c r="C142" s="633"/>
      <c r="D142" s="260" t="s">
        <v>402</v>
      </c>
      <c r="E142" s="289">
        <v>2</v>
      </c>
      <c r="F142" s="289">
        <v>150</v>
      </c>
      <c r="G142" s="289">
        <f>E142*F142*E138</f>
        <v>1500</v>
      </c>
    </row>
    <row r="143" spans="1:7" ht="15" customHeight="1">
      <c r="A143" s="260" t="s">
        <v>54</v>
      </c>
      <c r="B143" s="633" t="s">
        <v>143</v>
      </c>
      <c r="C143" s="633"/>
      <c r="D143" s="260" t="s">
        <v>85</v>
      </c>
      <c r="E143" s="289"/>
      <c r="F143" s="289"/>
      <c r="G143" s="289">
        <f>E138*F143</f>
        <v>0</v>
      </c>
    </row>
    <row r="144" spans="1:7" ht="15" customHeight="1">
      <c r="A144" s="260" t="s">
        <v>22</v>
      </c>
      <c r="B144" s="633" t="s">
        <v>144</v>
      </c>
      <c r="C144" s="633"/>
      <c r="D144" s="260" t="s">
        <v>85</v>
      </c>
      <c r="E144" s="289"/>
      <c r="F144" s="289"/>
      <c r="G144" s="289">
        <f>E138*F144</f>
        <v>0</v>
      </c>
    </row>
    <row r="145" spans="1:7" ht="15" customHeight="1">
      <c r="A145" s="260" t="s">
        <v>72</v>
      </c>
      <c r="B145" s="633" t="s">
        <v>145</v>
      </c>
      <c r="C145" s="633"/>
      <c r="D145" s="260" t="s">
        <v>85</v>
      </c>
      <c r="E145" s="289"/>
      <c r="F145" s="289"/>
      <c r="G145" s="289">
        <f>E138*F145</f>
        <v>0</v>
      </c>
    </row>
    <row r="146" spans="1:7" ht="15" customHeight="1">
      <c r="A146" s="260" t="s">
        <v>26</v>
      </c>
      <c r="B146" s="633" t="s">
        <v>146</v>
      </c>
      <c r="C146" s="633"/>
      <c r="D146" s="260" t="s">
        <v>85</v>
      </c>
      <c r="E146" s="289"/>
      <c r="F146" s="289"/>
      <c r="G146" s="289">
        <f>F146</f>
        <v>0</v>
      </c>
    </row>
    <row r="147" spans="1:7" ht="15" customHeight="1">
      <c r="A147" s="260" t="s">
        <v>31</v>
      </c>
      <c r="B147" s="633"/>
      <c r="C147" s="633"/>
      <c r="D147" s="260"/>
      <c r="E147" s="289"/>
      <c r="F147" s="289"/>
      <c r="G147" s="289"/>
    </row>
    <row r="148" spans="1:7" ht="15" customHeight="1">
      <c r="A148" s="260"/>
      <c r="B148" s="631" t="s">
        <v>147</v>
      </c>
      <c r="C148" s="632"/>
      <c r="D148" s="260"/>
      <c r="E148" s="261"/>
      <c r="F148" s="260"/>
      <c r="G148" s="263">
        <f>SUM(G141:G147)</f>
        <v>1625</v>
      </c>
    </row>
    <row r="149" ht="14.25">
      <c r="A149" s="245"/>
    </row>
    <row r="150" ht="14.25">
      <c r="A150" s="245"/>
    </row>
    <row r="151" ht="14.25">
      <c r="A151" s="254" t="s">
        <v>148</v>
      </c>
    </row>
    <row r="152" ht="15" thickBot="1">
      <c r="A152" s="254"/>
    </row>
    <row r="153" spans="1:7" ht="28.5" customHeight="1" thickBot="1">
      <c r="A153" s="279" t="s">
        <v>37</v>
      </c>
      <c r="B153" s="652" t="s">
        <v>38</v>
      </c>
      <c r="C153" s="653"/>
      <c r="D153" s="299" t="s">
        <v>39</v>
      </c>
      <c r="E153" s="280" t="s">
        <v>207</v>
      </c>
      <c r="F153" s="280" t="s">
        <v>58</v>
      </c>
      <c r="G153" s="280" t="s">
        <v>59</v>
      </c>
    </row>
    <row r="154" spans="1:7" ht="14.25" customHeight="1">
      <c r="A154" s="272" t="s">
        <v>9</v>
      </c>
      <c r="B154" s="634" t="s">
        <v>403</v>
      </c>
      <c r="C154" s="634"/>
      <c r="D154" s="272" t="s">
        <v>85</v>
      </c>
      <c r="E154" s="300"/>
      <c r="F154" s="300"/>
      <c r="G154" s="300"/>
    </row>
    <row r="155" spans="1:7" ht="14.25" customHeight="1">
      <c r="A155" s="260" t="s">
        <v>45</v>
      </c>
      <c r="B155" s="633" t="s">
        <v>404</v>
      </c>
      <c r="C155" s="633"/>
      <c r="D155" s="260" t="s">
        <v>85</v>
      </c>
      <c r="E155" s="289"/>
      <c r="F155" s="289"/>
      <c r="G155" s="289">
        <v>10</v>
      </c>
    </row>
    <row r="156" spans="1:7" ht="15" customHeight="1">
      <c r="A156" s="260" t="s">
        <v>14</v>
      </c>
      <c r="B156" s="633" t="s">
        <v>586</v>
      </c>
      <c r="C156" s="633"/>
      <c r="D156" s="260" t="s">
        <v>96</v>
      </c>
      <c r="E156" s="293">
        <f>6/22</f>
        <v>0.2727272727272727</v>
      </c>
      <c r="F156" s="289">
        <v>271.78</v>
      </c>
      <c r="G156" s="290">
        <f>E156*F156</f>
        <v>74.12181818181817</v>
      </c>
    </row>
    <row r="157" spans="1:7" ht="14.25">
      <c r="A157" s="260" t="s">
        <v>49</v>
      </c>
      <c r="B157" s="633" t="s">
        <v>152</v>
      </c>
      <c r="C157" s="633"/>
      <c r="D157" s="260" t="s">
        <v>96</v>
      </c>
      <c r="E157" s="289">
        <v>1</v>
      </c>
      <c r="F157" s="292">
        <v>14</v>
      </c>
      <c r="G157" s="289">
        <f>E157*F157</f>
        <v>14</v>
      </c>
    </row>
    <row r="158" spans="1:7" ht="15" customHeight="1">
      <c r="A158" s="260" t="s">
        <v>19</v>
      </c>
      <c r="B158" s="633" t="s">
        <v>153</v>
      </c>
      <c r="C158" s="633"/>
      <c r="D158" s="260"/>
      <c r="E158" s="289"/>
      <c r="F158" s="289"/>
      <c r="G158" s="289"/>
    </row>
    <row r="159" spans="1:7" ht="15" customHeight="1">
      <c r="A159" s="260" t="s">
        <v>54</v>
      </c>
      <c r="B159" s="633" t="s">
        <v>154</v>
      </c>
      <c r="C159" s="633"/>
      <c r="D159" s="260"/>
      <c r="E159" s="289"/>
      <c r="F159" s="289"/>
      <c r="G159" s="289"/>
    </row>
    <row r="160" spans="1:7" ht="15" customHeight="1">
      <c r="A160" s="260" t="s">
        <v>22</v>
      </c>
      <c r="B160" s="633" t="s">
        <v>155</v>
      </c>
      <c r="C160" s="633"/>
      <c r="D160" s="260"/>
      <c r="E160" s="289"/>
      <c r="F160" s="293"/>
      <c r="G160" s="289"/>
    </row>
    <row r="161" spans="1:7" ht="15" customHeight="1">
      <c r="A161" s="260" t="s">
        <v>72</v>
      </c>
      <c r="B161" s="633" t="s">
        <v>156</v>
      </c>
      <c r="C161" s="633"/>
      <c r="D161" s="260"/>
      <c r="E161" s="289"/>
      <c r="F161" s="289"/>
      <c r="G161" s="289"/>
    </row>
    <row r="162" spans="1:7" ht="15" customHeight="1">
      <c r="A162" s="260" t="s">
        <v>26</v>
      </c>
      <c r="B162" s="633" t="s">
        <v>406</v>
      </c>
      <c r="C162" s="633"/>
      <c r="D162" s="260" t="s">
        <v>85</v>
      </c>
      <c r="E162" s="289"/>
      <c r="F162" s="289"/>
      <c r="G162" s="289"/>
    </row>
    <row r="163" spans="1:7" ht="15" customHeight="1">
      <c r="A163" s="260"/>
      <c r="B163" s="631" t="s">
        <v>158</v>
      </c>
      <c r="C163" s="632"/>
      <c r="D163" s="260"/>
      <c r="E163" s="261"/>
      <c r="F163" s="260"/>
      <c r="G163" s="263">
        <f>SUM(G154:G162)</f>
        <v>98.12181818181817</v>
      </c>
    </row>
    <row r="164" ht="14.25">
      <c r="A164" s="245"/>
    </row>
    <row r="165" ht="14.25">
      <c r="A165" s="254" t="s">
        <v>159</v>
      </c>
    </row>
    <row r="166" ht="15" thickBot="1">
      <c r="A166" s="254"/>
    </row>
    <row r="167" spans="1:7" ht="28.5" customHeight="1">
      <c r="A167" s="637" t="s">
        <v>37</v>
      </c>
      <c r="B167" s="642" t="s">
        <v>38</v>
      </c>
      <c r="C167" s="643"/>
      <c r="D167" s="255" t="s">
        <v>39</v>
      </c>
      <c r="E167" s="256" t="s">
        <v>207</v>
      </c>
      <c r="F167" s="256" t="s">
        <v>58</v>
      </c>
      <c r="G167" s="256" t="s">
        <v>59</v>
      </c>
    </row>
    <row r="168" spans="1:7" ht="15" customHeight="1" thickBot="1">
      <c r="A168" s="638"/>
      <c r="B168" s="644"/>
      <c r="C168" s="645"/>
      <c r="D168" s="257"/>
      <c r="E168" s="258"/>
      <c r="F168" s="258"/>
      <c r="G168" s="258"/>
    </row>
    <row r="169" spans="1:7" ht="15" customHeight="1">
      <c r="A169" s="272" t="s">
        <v>9</v>
      </c>
      <c r="B169" s="646" t="s">
        <v>160</v>
      </c>
      <c r="C169" s="647"/>
      <c r="D169" s="272" t="s">
        <v>85</v>
      </c>
      <c r="E169" s="272"/>
      <c r="F169" s="272"/>
      <c r="G169" s="272">
        <f>E169*F169</f>
        <v>0</v>
      </c>
    </row>
    <row r="170" spans="1:7" ht="15" customHeight="1">
      <c r="A170" s="260"/>
      <c r="B170" s="658"/>
      <c r="C170" s="658"/>
      <c r="D170" s="260"/>
      <c r="E170" s="260"/>
      <c r="F170" s="260"/>
      <c r="G170" s="260"/>
    </row>
    <row r="171" spans="1:7" ht="15" customHeight="1">
      <c r="A171" s="260"/>
      <c r="B171" s="631" t="s">
        <v>161</v>
      </c>
      <c r="C171" s="632"/>
      <c r="D171" s="260"/>
      <c r="E171" s="260"/>
      <c r="F171" s="260"/>
      <c r="G171" s="260">
        <f>SUM(G169:G170)</f>
        <v>0</v>
      </c>
    </row>
    <row r="172" ht="15" customHeight="1">
      <c r="A172" s="245"/>
    </row>
    <row r="173" ht="14.25">
      <c r="A173" s="254" t="s">
        <v>162</v>
      </c>
    </row>
    <row r="174" ht="15" thickBot="1">
      <c r="A174" s="254"/>
    </row>
    <row r="175" spans="1:7" ht="28.5" customHeight="1" thickBot="1">
      <c r="A175" s="279" t="s">
        <v>37</v>
      </c>
      <c r="B175" s="652" t="s">
        <v>38</v>
      </c>
      <c r="C175" s="653"/>
      <c r="D175" s="299" t="s">
        <v>39</v>
      </c>
      <c r="E175" s="280" t="s">
        <v>207</v>
      </c>
      <c r="F175" s="280" t="s">
        <v>58</v>
      </c>
      <c r="G175" s="280" t="s">
        <v>59</v>
      </c>
    </row>
    <row r="176" spans="1:7" ht="14.25" customHeight="1">
      <c r="A176" s="272" t="s">
        <v>9</v>
      </c>
      <c r="B176" s="634" t="s">
        <v>163</v>
      </c>
      <c r="C176" s="634"/>
      <c r="D176" s="272"/>
      <c r="E176" s="272"/>
      <c r="F176" s="272"/>
      <c r="G176" s="272"/>
    </row>
    <row r="177" spans="1:7" ht="14.25" customHeight="1">
      <c r="A177" s="260"/>
      <c r="B177" s="633" t="s">
        <v>164</v>
      </c>
      <c r="C177" s="633"/>
      <c r="D177" s="260" t="s">
        <v>165</v>
      </c>
      <c r="E177" s="289"/>
      <c r="F177" s="289"/>
      <c r="G177" s="289"/>
    </row>
    <row r="178" spans="1:7" ht="14.25" customHeight="1">
      <c r="A178" s="260"/>
      <c r="B178" s="633" t="s">
        <v>167</v>
      </c>
      <c r="C178" s="633"/>
      <c r="D178" s="260" t="s">
        <v>165</v>
      </c>
      <c r="E178" s="289" t="s">
        <v>169</v>
      </c>
      <c r="F178" s="289">
        <v>77</v>
      </c>
      <c r="G178" s="289">
        <f>3*F178</f>
        <v>231</v>
      </c>
    </row>
    <row r="179" spans="1:7" ht="14.25" customHeight="1">
      <c r="A179" s="260"/>
      <c r="B179" s="633" t="s">
        <v>168</v>
      </c>
      <c r="C179" s="633"/>
      <c r="D179" s="260" t="s">
        <v>165</v>
      </c>
      <c r="E179" s="289" t="s">
        <v>232</v>
      </c>
      <c r="F179" s="289">
        <v>49</v>
      </c>
      <c r="G179" s="289">
        <f>10*F179</f>
        <v>490</v>
      </c>
    </row>
    <row r="180" spans="1:7" ht="29.25" customHeight="1">
      <c r="A180" s="260" t="s">
        <v>45</v>
      </c>
      <c r="B180" s="633" t="s">
        <v>170</v>
      </c>
      <c r="C180" s="633"/>
      <c r="D180" s="260" t="s">
        <v>165</v>
      </c>
      <c r="E180" s="289"/>
      <c r="F180" s="292"/>
      <c r="G180" s="289">
        <f>E180*F180</f>
        <v>0</v>
      </c>
    </row>
    <row r="181" spans="1:7" ht="15" customHeight="1">
      <c r="A181" s="260" t="s">
        <v>14</v>
      </c>
      <c r="B181" s="633" t="s">
        <v>171</v>
      </c>
      <c r="C181" s="633"/>
      <c r="D181" s="260" t="s">
        <v>85</v>
      </c>
      <c r="E181" s="289"/>
      <c r="F181" s="289"/>
      <c r="G181" s="289">
        <f>E181*F181</f>
        <v>0</v>
      </c>
    </row>
    <row r="182" spans="1:9" ht="15" customHeight="1">
      <c r="A182" s="260" t="s">
        <v>49</v>
      </c>
      <c r="B182" s="633" t="s">
        <v>172</v>
      </c>
      <c r="C182" s="633"/>
      <c r="D182" s="260" t="s">
        <v>91</v>
      </c>
      <c r="E182" s="289">
        <v>1</v>
      </c>
      <c r="F182" s="322">
        <f>23700*1.27/722.42</f>
        <v>41.66412890008583</v>
      </c>
      <c r="G182" s="323">
        <f>E182*F182</f>
        <v>41.66412890008583</v>
      </c>
      <c r="H182" s="324"/>
      <c r="I182" s="324" t="s">
        <v>173</v>
      </c>
    </row>
    <row r="183" spans="1:7" ht="15" customHeight="1">
      <c r="A183" s="260" t="s">
        <v>19</v>
      </c>
      <c r="B183" s="633" t="s">
        <v>174</v>
      </c>
      <c r="C183" s="633"/>
      <c r="D183" s="260" t="s">
        <v>43</v>
      </c>
      <c r="E183" s="305"/>
      <c r="F183" s="306"/>
      <c r="G183" s="290">
        <f>1*F183</f>
        <v>0</v>
      </c>
    </row>
    <row r="184" spans="1:9" ht="14.25" customHeight="1">
      <c r="A184" s="260" t="s">
        <v>54</v>
      </c>
      <c r="B184" s="633" t="s">
        <v>432</v>
      </c>
      <c r="C184" s="633"/>
      <c r="D184" s="260" t="s">
        <v>43</v>
      </c>
      <c r="E184" s="293">
        <f>2/22</f>
        <v>0.09090909090909091</v>
      </c>
      <c r="F184" s="322">
        <f>17140*1.27/210</f>
        <v>103.65619047619047</v>
      </c>
      <c r="G184" s="290">
        <f>E184*F184</f>
        <v>9.423290043290043</v>
      </c>
      <c r="I184" s="325" t="s">
        <v>565</v>
      </c>
    </row>
    <row r="185" spans="1:7" ht="14.25" customHeight="1">
      <c r="A185" s="260" t="s">
        <v>22</v>
      </c>
      <c r="B185" s="633" t="s">
        <v>176</v>
      </c>
      <c r="C185" s="633"/>
      <c r="D185" s="260" t="s">
        <v>43</v>
      </c>
      <c r="E185" s="307"/>
      <c r="F185" s="289"/>
      <c r="G185" s="289">
        <f>E185*F185</f>
        <v>0</v>
      </c>
    </row>
    <row r="186" spans="1:7" ht="15" customHeight="1">
      <c r="A186" s="260" t="s">
        <v>72</v>
      </c>
      <c r="B186" s="633" t="s">
        <v>209</v>
      </c>
      <c r="C186" s="633"/>
      <c r="D186" s="260" t="s">
        <v>85</v>
      </c>
      <c r="E186" s="289"/>
      <c r="F186" s="289"/>
      <c r="G186" s="289">
        <f>E186*F186</f>
        <v>0</v>
      </c>
    </row>
    <row r="187" spans="1:7" ht="15" customHeight="1">
      <c r="A187" s="260"/>
      <c r="B187" s="631" t="s">
        <v>177</v>
      </c>
      <c r="C187" s="632"/>
      <c r="D187" s="260"/>
      <c r="E187" s="260"/>
      <c r="F187" s="260"/>
      <c r="G187" s="263">
        <f>SUM(G177:G186)</f>
        <v>772.087418943376</v>
      </c>
    </row>
    <row r="188" ht="13.5" customHeight="1">
      <c r="A188" s="245"/>
    </row>
    <row r="189" ht="14.25">
      <c r="A189" s="254" t="s">
        <v>178</v>
      </c>
    </row>
    <row r="190" ht="15" thickBot="1">
      <c r="A190" s="254"/>
    </row>
    <row r="191" spans="1:7" ht="28.5" customHeight="1" thickBot="1">
      <c r="A191" s="279" t="s">
        <v>37</v>
      </c>
      <c r="B191" s="652" t="s">
        <v>38</v>
      </c>
      <c r="C191" s="653"/>
      <c r="D191" s="299" t="s">
        <v>39</v>
      </c>
      <c r="E191" s="280" t="s">
        <v>207</v>
      </c>
      <c r="F191" s="280" t="s">
        <v>58</v>
      </c>
      <c r="G191" s="280" t="s">
        <v>59</v>
      </c>
    </row>
    <row r="192" spans="1:9" ht="15" customHeight="1">
      <c r="A192" s="272" t="s">
        <v>9</v>
      </c>
      <c r="B192" s="634" t="s">
        <v>179</v>
      </c>
      <c r="C192" s="634"/>
      <c r="D192" s="272" t="s">
        <v>180</v>
      </c>
      <c r="E192" s="300">
        <v>1</v>
      </c>
      <c r="F192" s="308"/>
      <c r="G192" s="309">
        <f>E192*F192</f>
        <v>0</v>
      </c>
      <c r="H192" s="310"/>
      <c r="I192" s="310"/>
    </row>
    <row r="193" spans="1:7" ht="15" customHeight="1">
      <c r="A193" s="260" t="s">
        <v>45</v>
      </c>
      <c r="B193" s="633" t="s">
        <v>181</v>
      </c>
      <c r="C193" s="633"/>
      <c r="D193" s="260" t="s">
        <v>180</v>
      </c>
      <c r="E193" s="289">
        <v>1</v>
      </c>
      <c r="F193" s="306"/>
      <c r="G193" s="290"/>
    </row>
    <row r="194" spans="1:7" ht="15" customHeight="1">
      <c r="A194" s="260" t="s">
        <v>14</v>
      </c>
      <c r="B194" s="633" t="s">
        <v>182</v>
      </c>
      <c r="C194" s="633"/>
      <c r="D194" s="260" t="s">
        <v>180</v>
      </c>
      <c r="E194" s="289">
        <v>1</v>
      </c>
      <c r="F194" s="293"/>
      <c r="G194" s="290"/>
    </row>
    <row r="195" spans="1:7" ht="15" customHeight="1">
      <c r="A195" s="260"/>
      <c r="B195" s="631" t="s">
        <v>183</v>
      </c>
      <c r="C195" s="632"/>
      <c r="D195" s="260"/>
      <c r="E195" s="260"/>
      <c r="F195" s="260"/>
      <c r="G195" s="263">
        <f>SUM(G192:G194)</f>
        <v>0</v>
      </c>
    </row>
    <row r="196" ht="14.25">
      <c r="A196" s="245"/>
    </row>
    <row r="197" ht="14.25">
      <c r="A197" s="245"/>
    </row>
    <row r="198" ht="14.25">
      <c r="A198" s="245" t="s">
        <v>184</v>
      </c>
    </row>
    <row r="199" ht="15" thickBot="1">
      <c r="A199" s="245"/>
    </row>
    <row r="200" spans="1:7" ht="28.5" customHeight="1" thickBot="1">
      <c r="A200" s="279" t="s">
        <v>37</v>
      </c>
      <c r="B200" s="652" t="s">
        <v>38</v>
      </c>
      <c r="C200" s="653"/>
      <c r="D200" s="299" t="s">
        <v>39</v>
      </c>
      <c r="E200" s="280" t="s">
        <v>210</v>
      </c>
      <c r="F200" s="280" t="s">
        <v>58</v>
      </c>
      <c r="G200" s="280" t="s">
        <v>59</v>
      </c>
    </row>
    <row r="201" spans="1:7" ht="15" customHeight="1">
      <c r="A201" s="272" t="s">
        <v>9</v>
      </c>
      <c r="B201" s="634" t="s">
        <v>185</v>
      </c>
      <c r="C201" s="634"/>
      <c r="D201" s="272" t="s">
        <v>85</v>
      </c>
      <c r="E201" s="300">
        <v>0.5</v>
      </c>
      <c r="F201" s="300">
        <v>32.6</v>
      </c>
      <c r="G201" s="311">
        <f>E201*F201</f>
        <v>16.3</v>
      </c>
    </row>
    <row r="202" spans="1:10" ht="14.25" customHeight="1">
      <c r="A202" s="260" t="s">
        <v>45</v>
      </c>
      <c r="B202" s="633" t="s">
        <v>186</v>
      </c>
      <c r="C202" s="633"/>
      <c r="D202" s="260" t="s">
        <v>85</v>
      </c>
      <c r="E202" s="114"/>
      <c r="F202" s="44">
        <f>(1151.55+210.41+5.7+145.58)*1.2</f>
        <v>1815.888</v>
      </c>
      <c r="G202" s="103">
        <f>F202*E201</f>
        <v>907.944</v>
      </c>
      <c r="H202" s="65"/>
      <c r="I202" s="65"/>
      <c r="J202" s="65"/>
    </row>
    <row r="203" spans="1:10" ht="14.25" customHeight="1">
      <c r="A203" s="260" t="s">
        <v>14</v>
      </c>
      <c r="B203" s="633" t="s">
        <v>187</v>
      </c>
      <c r="C203" s="633"/>
      <c r="D203" s="260" t="s">
        <v>85</v>
      </c>
      <c r="E203" s="114"/>
      <c r="F203" s="114"/>
      <c r="G203" s="114"/>
      <c r="H203" s="65"/>
      <c r="I203" s="65"/>
      <c r="J203" s="65"/>
    </row>
    <row r="204" spans="1:10" ht="14.25">
      <c r="A204" s="260" t="s">
        <v>49</v>
      </c>
      <c r="B204" s="633" t="s">
        <v>188</v>
      </c>
      <c r="C204" s="633"/>
      <c r="D204" s="260" t="s">
        <v>85</v>
      </c>
      <c r="E204" s="114"/>
      <c r="F204" s="114"/>
      <c r="G204" s="114"/>
      <c r="H204" s="65"/>
      <c r="I204" s="65"/>
      <c r="J204" s="65"/>
    </row>
    <row r="205" spans="1:10" ht="15" customHeight="1">
      <c r="A205" s="260" t="s">
        <v>19</v>
      </c>
      <c r="B205" s="633" t="s">
        <v>407</v>
      </c>
      <c r="C205" s="633"/>
      <c r="D205" s="260" t="s">
        <v>85</v>
      </c>
      <c r="E205" s="114"/>
      <c r="F205" s="114"/>
      <c r="G205" s="114"/>
      <c r="H205" s="65"/>
      <c r="I205" s="65"/>
      <c r="J205" s="65"/>
    </row>
    <row r="206" spans="1:10" ht="15" customHeight="1">
      <c r="A206" s="260" t="s">
        <v>54</v>
      </c>
      <c r="B206" s="633" t="s">
        <v>190</v>
      </c>
      <c r="C206" s="633"/>
      <c r="D206" s="260" t="s">
        <v>101</v>
      </c>
      <c r="E206" s="241">
        <f>J206/F206</f>
        <v>18.074825033505</v>
      </c>
      <c r="F206" s="43">
        <v>1.68</v>
      </c>
      <c r="G206" s="240">
        <f>E206*F206</f>
        <v>30.3657060562884</v>
      </c>
      <c r="H206" s="54"/>
      <c r="I206" s="448">
        <f>1288300*0.4/8485.23</f>
        <v>60.7314121125768</v>
      </c>
      <c r="J206" s="448">
        <f>I206*E201</f>
        <v>30.3657060562884</v>
      </c>
    </row>
    <row r="207" spans="1:10" ht="15" customHeight="1">
      <c r="A207" s="260" t="s">
        <v>22</v>
      </c>
      <c r="B207" s="633" t="s">
        <v>191</v>
      </c>
      <c r="C207" s="633"/>
      <c r="D207" s="260" t="s">
        <v>192</v>
      </c>
      <c r="E207" s="446">
        <f>J207/F207</f>
        <v>0.10058302620539868</v>
      </c>
      <c r="F207" s="43">
        <f>987*1.2</f>
        <v>1184.3999999999999</v>
      </c>
      <c r="G207" s="240">
        <f>E207*F207</f>
        <v>119.13053623767418</v>
      </c>
      <c r="H207" s="54"/>
      <c r="I207" s="448">
        <f>2021700/8485.23</f>
        <v>238.26107247534836</v>
      </c>
      <c r="J207" s="448">
        <f>I207*E201</f>
        <v>119.13053623767418</v>
      </c>
    </row>
    <row r="208" spans="1:10" ht="15" customHeight="1">
      <c r="A208" s="260" t="s">
        <v>72</v>
      </c>
      <c r="B208" s="633" t="s">
        <v>193</v>
      </c>
      <c r="C208" s="633"/>
      <c r="D208" s="260" t="s">
        <v>85</v>
      </c>
      <c r="E208" s="447"/>
      <c r="F208" s="241">
        <f>(229000+16300)/8485.23</f>
        <v>28.909057267746427</v>
      </c>
      <c r="G208" s="240">
        <f>F208*E201</f>
        <v>14.454528633873213</v>
      </c>
      <c r="H208" s="54"/>
      <c r="I208" s="54"/>
      <c r="J208" s="54"/>
    </row>
    <row r="209" spans="1:10" ht="14.25" customHeight="1">
      <c r="A209" s="260" t="s">
        <v>26</v>
      </c>
      <c r="B209" s="633" t="s">
        <v>194</v>
      </c>
      <c r="C209" s="633"/>
      <c r="D209" s="260" t="s">
        <v>85</v>
      </c>
      <c r="E209" s="447"/>
      <c r="F209" s="43">
        <v>2693.4</v>
      </c>
      <c r="G209" s="240">
        <f>F209*E201</f>
        <v>1346.7</v>
      </c>
      <c r="H209" s="54"/>
      <c r="I209" s="54"/>
      <c r="J209" s="54"/>
    </row>
    <row r="210" spans="1:10" ht="15" customHeight="1">
      <c r="A210" s="260" t="s">
        <v>31</v>
      </c>
      <c r="B210" s="633" t="s">
        <v>408</v>
      </c>
      <c r="C210" s="633"/>
      <c r="D210" s="260" t="s">
        <v>85</v>
      </c>
      <c r="E210" s="447"/>
      <c r="F210" s="43">
        <v>300.6</v>
      </c>
      <c r="G210" s="240">
        <f>F210*E201</f>
        <v>150.3</v>
      </c>
      <c r="H210" s="54"/>
      <c r="I210" s="54"/>
      <c r="J210" s="54"/>
    </row>
    <row r="211" spans="1:10" ht="15" customHeight="1">
      <c r="A211" s="260" t="s">
        <v>79</v>
      </c>
      <c r="B211" s="633" t="s">
        <v>196</v>
      </c>
      <c r="C211" s="633"/>
      <c r="D211" s="260" t="s">
        <v>85</v>
      </c>
      <c r="E211" s="447"/>
      <c r="F211" s="43">
        <v>1242.8</v>
      </c>
      <c r="G211" s="240">
        <f>F211*E201</f>
        <v>621.4</v>
      </c>
      <c r="H211" s="54"/>
      <c r="I211" s="54"/>
      <c r="J211" s="54"/>
    </row>
    <row r="212" ht="14.25">
      <c r="A212" s="245"/>
    </row>
    <row r="213" ht="14.25">
      <c r="A213" s="245" t="s">
        <v>197</v>
      </c>
    </row>
    <row r="214" ht="15" thickBot="1">
      <c r="A214" s="254"/>
    </row>
    <row r="215" spans="1:7" ht="14.25" customHeight="1">
      <c r="A215" s="637" t="s">
        <v>37</v>
      </c>
      <c r="B215" s="642" t="s">
        <v>38</v>
      </c>
      <c r="C215" s="643"/>
      <c r="D215" s="255" t="s">
        <v>198</v>
      </c>
      <c r="E215" s="642" t="s">
        <v>59</v>
      </c>
      <c r="F215" s="660"/>
      <c r="G215" s="643"/>
    </row>
    <row r="216" spans="1:7" ht="15" thickBot="1">
      <c r="A216" s="638"/>
      <c r="B216" s="644"/>
      <c r="C216" s="645"/>
      <c r="D216" s="257" t="s">
        <v>199</v>
      </c>
      <c r="E216" s="644"/>
      <c r="F216" s="661"/>
      <c r="G216" s="645"/>
    </row>
    <row r="217" spans="1:11" ht="15" customHeight="1">
      <c r="A217" s="272" t="s">
        <v>9</v>
      </c>
      <c r="B217" s="634" t="s">
        <v>200</v>
      </c>
      <c r="C217" s="634"/>
      <c r="D217" s="272" t="s">
        <v>85</v>
      </c>
      <c r="E217" s="667">
        <f>G42+G61+G65+G66+G99+G122+G134+G148+G163+G171+G187+G195</f>
        <v>7012.439382998018</v>
      </c>
      <c r="F217" s="667"/>
      <c r="G217" s="667"/>
      <c r="H217" s="313"/>
      <c r="K217" s="313"/>
    </row>
    <row r="218" spans="1:7" ht="15" customHeight="1">
      <c r="A218" s="260" t="s">
        <v>45</v>
      </c>
      <c r="B218" s="633" t="s">
        <v>201</v>
      </c>
      <c r="C218" s="633"/>
      <c r="D218" s="260" t="s">
        <v>85</v>
      </c>
      <c r="E218" s="662">
        <f>SUM(G201:G211)</f>
        <v>3206.594770927836</v>
      </c>
      <c r="F218" s="662"/>
      <c r="G218" s="662"/>
    </row>
    <row r="219" spans="1:7" ht="14.25">
      <c r="A219" s="260" t="s">
        <v>14</v>
      </c>
      <c r="B219" s="633" t="s">
        <v>202</v>
      </c>
      <c r="C219" s="633"/>
      <c r="D219" s="260" t="s">
        <v>85</v>
      </c>
      <c r="E219" s="662">
        <f>SUM(E217:G218)</f>
        <v>10219.034153925855</v>
      </c>
      <c r="F219" s="662"/>
      <c r="G219" s="662"/>
    </row>
    <row r="220" spans="1:7" ht="27.75" customHeight="1">
      <c r="A220" s="260">
        <v>4</v>
      </c>
      <c r="B220" s="633" t="s">
        <v>203</v>
      </c>
      <c r="C220" s="633"/>
      <c r="D220" s="260" t="s">
        <v>85</v>
      </c>
      <c r="E220" s="659"/>
      <c r="F220" s="659"/>
      <c r="G220" s="659"/>
    </row>
    <row r="221" spans="1:7" ht="15" customHeight="1">
      <c r="A221" s="260" t="s">
        <v>19</v>
      </c>
      <c r="B221" s="633" t="s">
        <v>204</v>
      </c>
      <c r="C221" s="633"/>
      <c r="D221" s="260" t="s">
        <v>85</v>
      </c>
      <c r="E221" s="659">
        <f>E219</f>
        <v>10219.034153925855</v>
      </c>
      <c r="F221" s="659"/>
      <c r="G221" s="659"/>
    </row>
    <row r="222" spans="1:9" ht="14.25">
      <c r="A222" s="278"/>
      <c r="I222" s="282"/>
    </row>
    <row r="223" ht="14.25">
      <c r="A223" s="278"/>
    </row>
    <row r="232" ht="14.25">
      <c r="B232" s="314" t="s">
        <v>63</v>
      </c>
    </row>
    <row r="234" ht="14.25">
      <c r="B234" s="314"/>
    </row>
  </sheetData>
  <sheetProtection/>
  <mergeCells count="166">
    <mergeCell ref="B142:C142"/>
    <mergeCell ref="B120:C120"/>
    <mergeCell ref="B122:C122"/>
    <mergeCell ref="B134:C134"/>
    <mergeCell ref="B138:C138"/>
    <mergeCell ref="B116:C116"/>
    <mergeCell ref="B117:C117"/>
    <mergeCell ref="B118:C118"/>
    <mergeCell ref="B81:C81"/>
    <mergeCell ref="B79:C79"/>
    <mergeCell ref="B80:C80"/>
    <mergeCell ref="B83:C83"/>
    <mergeCell ref="B141:C141"/>
    <mergeCell ref="B86:C86"/>
    <mergeCell ref="B87:C87"/>
    <mergeCell ref="B111:C111"/>
    <mergeCell ref="B99:C99"/>
    <mergeCell ref="A90:C90"/>
    <mergeCell ref="A95:C95"/>
    <mergeCell ref="B93:C93"/>
    <mergeCell ref="B103:C103"/>
    <mergeCell ref="B96:C96"/>
    <mergeCell ref="A31:A32"/>
    <mergeCell ref="B42:C42"/>
    <mergeCell ref="B65:C65"/>
    <mergeCell ref="B66:C66"/>
    <mergeCell ref="A38:A41"/>
    <mergeCell ref="B34:C34"/>
    <mergeCell ref="B35:C35"/>
    <mergeCell ref="B36:C36"/>
    <mergeCell ref="B38:C38"/>
    <mergeCell ref="B37:C37"/>
    <mergeCell ref="A215:A216"/>
    <mergeCell ref="B128:C128"/>
    <mergeCell ref="B129:C129"/>
    <mergeCell ref="B130:C130"/>
    <mergeCell ref="B131:C131"/>
    <mergeCell ref="B132:C132"/>
    <mergeCell ref="B133:C133"/>
    <mergeCell ref="B192:C192"/>
    <mergeCell ref="B193:C193"/>
    <mergeCell ref="A167:A168"/>
    <mergeCell ref="B144:C144"/>
    <mergeCell ref="B163:C163"/>
    <mergeCell ref="B178:C178"/>
    <mergeCell ref="B167:C168"/>
    <mergeCell ref="B169:C169"/>
    <mergeCell ref="B176:C176"/>
    <mergeCell ref="B170:C170"/>
    <mergeCell ref="B171:C171"/>
    <mergeCell ref="B177:C177"/>
    <mergeCell ref="B175:C175"/>
    <mergeCell ref="D139:G139"/>
    <mergeCell ref="B139:C139"/>
    <mergeCell ref="D140:G140"/>
    <mergeCell ref="B140:C140"/>
    <mergeCell ref="B153:C153"/>
    <mergeCell ref="B154:C154"/>
    <mergeCell ref="B145:C145"/>
    <mergeCell ref="B143:C143"/>
    <mergeCell ref="B148:C148"/>
    <mergeCell ref="B147:C147"/>
    <mergeCell ref="B108:C108"/>
    <mergeCell ref="B109:C109"/>
    <mergeCell ref="B110:C110"/>
    <mergeCell ref="B107:C107"/>
    <mergeCell ref="B88:C88"/>
    <mergeCell ref="B104:C104"/>
    <mergeCell ref="B91:C91"/>
    <mergeCell ref="B92:C92"/>
    <mergeCell ref="B98:C98"/>
    <mergeCell ref="B105:C105"/>
    <mergeCell ref="B106:C106"/>
    <mergeCell ref="B97:C97"/>
    <mergeCell ref="A89:C89"/>
    <mergeCell ref="B74:C74"/>
    <mergeCell ref="B75:C75"/>
    <mergeCell ref="B76:C76"/>
    <mergeCell ref="B77:C77"/>
    <mergeCell ref="A84:C84"/>
    <mergeCell ref="A85:C85"/>
    <mergeCell ref="G48:G49"/>
    <mergeCell ref="B82:C82"/>
    <mergeCell ref="A70:C70"/>
    <mergeCell ref="A48:A49"/>
    <mergeCell ref="F48:F49"/>
    <mergeCell ref="A71:C71"/>
    <mergeCell ref="E48:E49"/>
    <mergeCell ref="B78:C78"/>
    <mergeCell ref="B72:C72"/>
    <mergeCell ref="B73:C73"/>
    <mergeCell ref="B155:C155"/>
    <mergeCell ref="B156:C156"/>
    <mergeCell ref="B112:C112"/>
    <mergeCell ref="B113:C113"/>
    <mergeCell ref="B114:C114"/>
    <mergeCell ref="B115:C115"/>
    <mergeCell ref="B146:C146"/>
    <mergeCell ref="B127:C127"/>
    <mergeCell ref="B121:C121"/>
    <mergeCell ref="B119:C119"/>
    <mergeCell ref="B162:C162"/>
    <mergeCell ref="B161:C161"/>
    <mergeCell ref="B157:C157"/>
    <mergeCell ref="B160:C160"/>
    <mergeCell ref="B159:C159"/>
    <mergeCell ref="B158:C158"/>
    <mergeCell ref="B179:C179"/>
    <mergeCell ref="B200:C200"/>
    <mergeCell ref="B184:C184"/>
    <mergeCell ref="B185:C185"/>
    <mergeCell ref="B186:C186"/>
    <mergeCell ref="B183:C183"/>
    <mergeCell ref="B182:C182"/>
    <mergeCell ref="B191:C191"/>
    <mergeCell ref="B203:C203"/>
    <mergeCell ref="B187:C187"/>
    <mergeCell ref="B181:C181"/>
    <mergeCell ref="B195:C195"/>
    <mergeCell ref="B202:C202"/>
    <mergeCell ref="B201:C201"/>
    <mergeCell ref="E220:G220"/>
    <mergeCell ref="B209:C209"/>
    <mergeCell ref="B210:C210"/>
    <mergeCell ref="B211:C211"/>
    <mergeCell ref="E215:G216"/>
    <mergeCell ref="B220:C220"/>
    <mergeCell ref="B215:C216"/>
    <mergeCell ref="E218:G218"/>
    <mergeCell ref="E219:G219"/>
    <mergeCell ref="B33:C33"/>
    <mergeCell ref="B39:C39"/>
    <mergeCell ref="B40:C40"/>
    <mergeCell ref="B208:C208"/>
    <mergeCell ref="B204:C204"/>
    <mergeCell ref="B205:C205"/>
    <mergeCell ref="B206:C206"/>
    <mergeCell ref="B207:C207"/>
    <mergeCell ref="B194:C194"/>
    <mergeCell ref="B180:C180"/>
    <mergeCell ref="E221:G221"/>
    <mergeCell ref="B48:C48"/>
    <mergeCell ref="B69:C69"/>
    <mergeCell ref="B64:C64"/>
    <mergeCell ref="D48:D49"/>
    <mergeCell ref="B221:C221"/>
    <mergeCell ref="E217:G217"/>
    <mergeCell ref="B217:C217"/>
    <mergeCell ref="B218:C218"/>
    <mergeCell ref="B219:C219"/>
    <mergeCell ref="D18:E18"/>
    <mergeCell ref="D20:E20"/>
    <mergeCell ref="D14:E14"/>
    <mergeCell ref="B31:C32"/>
    <mergeCell ref="B26:G26"/>
    <mergeCell ref="C24:G24"/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357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358</v>
      </c>
      <c r="D18" s="596" t="s">
        <v>17</v>
      </c>
      <c r="E18" s="597"/>
      <c r="F18" s="596" t="s">
        <v>218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236" t="s">
        <v>611</v>
      </c>
      <c r="D20" s="596" t="s">
        <v>21</v>
      </c>
      <c r="E20" s="597"/>
      <c r="F20" s="596" t="s">
        <v>436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360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338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587</v>
      </c>
      <c r="D26" s="592"/>
      <c r="E26" s="592"/>
      <c r="F26" s="592"/>
      <c r="G26" s="593"/>
    </row>
    <row r="27" spans="1:7" ht="15" thickBot="1">
      <c r="A27" s="75"/>
      <c r="B27" s="591" t="s">
        <v>588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9" ht="15" customHeight="1">
      <c r="A36" s="84" t="s">
        <v>9</v>
      </c>
      <c r="B36" s="613" t="s">
        <v>354</v>
      </c>
      <c r="C36" s="613"/>
      <c r="D36" s="84" t="s">
        <v>43</v>
      </c>
      <c r="E36" s="85">
        <v>8</v>
      </c>
      <c r="F36" s="86">
        <f>F50/13</f>
        <v>2.818590704647676</v>
      </c>
      <c r="G36" s="85">
        <f aca="true" t="shared" si="0" ref="G36:G43">E36*F36</f>
        <v>22.54872563718141</v>
      </c>
      <c r="I36" s="239"/>
    </row>
    <row r="37" spans="1:9" ht="15" customHeight="1">
      <c r="A37" s="84" t="s">
        <v>45</v>
      </c>
      <c r="B37" s="613" t="s">
        <v>355</v>
      </c>
      <c r="C37" s="613"/>
      <c r="D37" s="84" t="s">
        <v>43</v>
      </c>
      <c r="E37" s="94" t="s">
        <v>364</v>
      </c>
      <c r="F37" s="86">
        <f>F50/13</f>
        <v>2.818590704647676</v>
      </c>
      <c r="G37" s="85">
        <f t="shared" si="0"/>
        <v>45.09745127436282</v>
      </c>
      <c r="I37"/>
    </row>
    <row r="38" spans="1:9" ht="15" customHeight="1">
      <c r="A38" s="84" t="s">
        <v>14</v>
      </c>
      <c r="B38" s="613" t="s">
        <v>356</v>
      </c>
      <c r="C38" s="613"/>
      <c r="D38" s="84" t="s">
        <v>43</v>
      </c>
      <c r="E38" s="94" t="s">
        <v>240</v>
      </c>
      <c r="F38" s="86">
        <f>F50/13</f>
        <v>2.818590704647676</v>
      </c>
      <c r="G38" s="85">
        <f t="shared" si="0"/>
        <v>22.54872563718141</v>
      </c>
      <c r="I38"/>
    </row>
    <row r="39" spans="1:9" ht="15" customHeight="1">
      <c r="A39" s="84" t="s">
        <v>49</v>
      </c>
      <c r="B39" s="613" t="s">
        <v>216</v>
      </c>
      <c r="C39" s="613"/>
      <c r="D39" s="84" t="s">
        <v>43</v>
      </c>
      <c r="E39" s="94" t="s">
        <v>364</v>
      </c>
      <c r="F39" s="86">
        <f>F50/13</f>
        <v>2.818590704647676</v>
      </c>
      <c r="G39" s="85">
        <f t="shared" si="0"/>
        <v>45.09745127436282</v>
      </c>
      <c r="I39"/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589</v>
      </c>
      <c r="C41" s="608"/>
      <c r="D41" s="87"/>
      <c r="E41" s="90">
        <v>16</v>
      </c>
      <c r="F41" s="239">
        <f>F50/13</f>
        <v>2.818590704647676</v>
      </c>
      <c r="G41" s="85">
        <f t="shared" si="0"/>
        <v>45.09745127436282</v>
      </c>
    </row>
    <row r="42" spans="1:7" ht="15.75" customHeight="1">
      <c r="A42" s="627"/>
      <c r="B42" s="607" t="s">
        <v>590</v>
      </c>
      <c r="C42" s="608"/>
      <c r="D42" s="87"/>
      <c r="E42" s="90"/>
      <c r="F42" s="239"/>
      <c r="G42" s="85">
        <f t="shared" si="0"/>
        <v>0</v>
      </c>
    </row>
    <row r="43" spans="1:7" ht="14.25">
      <c r="A43" s="627"/>
      <c r="B43" s="609"/>
      <c r="C43" s="610"/>
      <c r="D43" s="87"/>
      <c r="E43" s="91"/>
      <c r="F43" s="239"/>
      <c r="G43" s="85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180.38980509745127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 t="s">
        <v>9</v>
      </c>
      <c r="B49" s="93" t="s">
        <v>62</v>
      </c>
      <c r="C49" s="93"/>
      <c r="D49" s="84" t="s">
        <v>43</v>
      </c>
      <c r="E49" s="84"/>
      <c r="F49" s="86"/>
      <c r="G49" s="85">
        <f aca="true" t="shared" si="1" ref="G49:G61">E49*F49</f>
        <v>0</v>
      </c>
    </row>
    <row r="50" spans="1:9" ht="15" customHeight="1">
      <c r="A50" s="84" t="s">
        <v>45</v>
      </c>
      <c r="B50" s="93" t="s">
        <v>63</v>
      </c>
      <c r="C50" s="93" t="s">
        <v>361</v>
      </c>
      <c r="D50" s="84" t="s">
        <v>43</v>
      </c>
      <c r="E50" s="84">
        <v>16</v>
      </c>
      <c r="F50" s="237">
        <f>6110*12/2001</f>
        <v>36.64167916041979</v>
      </c>
      <c r="G50" s="85">
        <f t="shared" si="1"/>
        <v>586.2668665667167</v>
      </c>
      <c r="I50" s="234"/>
    </row>
    <row r="51" spans="1:7" ht="15" customHeight="1">
      <c r="A51" s="84" t="s">
        <v>14</v>
      </c>
      <c r="B51" s="93" t="s">
        <v>309</v>
      </c>
      <c r="C51" s="93" t="s">
        <v>361</v>
      </c>
      <c r="D51" s="84" t="s">
        <v>43</v>
      </c>
      <c r="E51" s="84">
        <v>5</v>
      </c>
      <c r="F51" s="237">
        <f>6110*12/2001</f>
        <v>36.64167916041979</v>
      </c>
      <c r="G51" s="85">
        <f t="shared" si="1"/>
        <v>183.20839580209895</v>
      </c>
    </row>
    <row r="52" spans="1:9" ht="15" customHeight="1">
      <c r="A52" s="84" t="s">
        <v>49</v>
      </c>
      <c r="B52" s="93" t="s">
        <v>67</v>
      </c>
      <c r="C52" s="93" t="s">
        <v>591</v>
      </c>
      <c r="D52" s="84" t="s">
        <v>43</v>
      </c>
      <c r="E52" s="94" t="s">
        <v>362</v>
      </c>
      <c r="F52" s="86">
        <f>(4620+5100)*12/4002</f>
        <v>29.14542728635682</v>
      </c>
      <c r="G52" s="85">
        <f t="shared" si="1"/>
        <v>932.6536731634183</v>
      </c>
      <c r="I52" s="234" t="s">
        <v>270</v>
      </c>
    </row>
    <row r="53" spans="1:9" ht="15" customHeight="1">
      <c r="A53" s="84">
        <v>5</v>
      </c>
      <c r="B53" s="93" t="s">
        <v>285</v>
      </c>
      <c r="C53" s="93" t="s">
        <v>592</v>
      </c>
      <c r="D53" s="84" t="s">
        <v>43</v>
      </c>
      <c r="E53" s="94" t="s">
        <v>240</v>
      </c>
      <c r="F53" s="237">
        <f>6110*12/2001</f>
        <v>36.64167916041979</v>
      </c>
      <c r="G53" s="85">
        <f t="shared" si="1"/>
        <v>293.13343328335833</v>
      </c>
      <c r="I53" s="234" t="s">
        <v>301</v>
      </c>
    </row>
    <row r="54" spans="1:9" ht="15" customHeight="1">
      <c r="A54" s="84">
        <v>6</v>
      </c>
      <c r="B54" s="93" t="s">
        <v>260</v>
      </c>
      <c r="C54" s="93" t="s">
        <v>593</v>
      </c>
      <c r="D54" s="84" t="s">
        <v>43</v>
      </c>
      <c r="E54" s="94" t="s">
        <v>240</v>
      </c>
      <c r="F54" s="86"/>
      <c r="G54" s="85">
        <f t="shared" si="1"/>
        <v>0</v>
      </c>
      <c r="I54" s="234"/>
    </row>
    <row r="55" spans="1:9" ht="15" customHeight="1">
      <c r="A55" s="84">
        <v>7</v>
      </c>
      <c r="B55" s="93" t="s">
        <v>70</v>
      </c>
      <c r="C55" s="93" t="s">
        <v>361</v>
      </c>
      <c r="D55" s="84" t="s">
        <v>43</v>
      </c>
      <c r="E55" s="84">
        <f>32+32</f>
        <v>64</v>
      </c>
      <c r="F55" s="237">
        <f>6110*12/2001</f>
        <v>36.64167916041979</v>
      </c>
      <c r="G55" s="85">
        <f t="shared" si="1"/>
        <v>2345.0674662668666</v>
      </c>
      <c r="I55" s="234"/>
    </row>
    <row r="56" spans="1:9" ht="15" customHeight="1">
      <c r="A56" s="84">
        <v>8</v>
      </c>
      <c r="B56" s="93" t="s">
        <v>73</v>
      </c>
      <c r="C56" s="93" t="s">
        <v>594</v>
      </c>
      <c r="D56" s="84" t="s">
        <v>43</v>
      </c>
      <c r="E56" s="94" t="s">
        <v>362</v>
      </c>
      <c r="F56" s="237">
        <f>(1580+3820)*12/4002</f>
        <v>16.191904047976013</v>
      </c>
      <c r="G56" s="85">
        <f t="shared" si="1"/>
        <v>518.1409295352324</v>
      </c>
      <c r="I56" s="119"/>
    </row>
    <row r="57" spans="1:7" ht="15" customHeight="1">
      <c r="A57" s="84">
        <v>9</v>
      </c>
      <c r="B57" s="93" t="s">
        <v>75</v>
      </c>
      <c r="C57" s="93" t="s">
        <v>361</v>
      </c>
      <c r="D57" s="84" t="s">
        <v>43</v>
      </c>
      <c r="E57" s="84">
        <v>32</v>
      </c>
      <c r="F57" s="237">
        <f>6110*12/2001</f>
        <v>36.64167916041979</v>
      </c>
      <c r="G57" s="85">
        <f t="shared" si="1"/>
        <v>1172.5337331334333</v>
      </c>
    </row>
    <row r="58" spans="1:7" ht="15" customHeight="1">
      <c r="A58" s="84">
        <v>10</v>
      </c>
      <c r="B58" s="93" t="s">
        <v>572</v>
      </c>
      <c r="C58" s="93" t="s">
        <v>363</v>
      </c>
      <c r="D58" s="84" t="s">
        <v>43</v>
      </c>
      <c r="E58" s="84">
        <v>6</v>
      </c>
      <c r="F58" s="237">
        <f>1580*12/2001</f>
        <v>9.475262368815592</v>
      </c>
      <c r="G58" s="85">
        <f t="shared" si="1"/>
        <v>56.85157421289355</v>
      </c>
    </row>
    <row r="59" spans="1:7" ht="15" customHeight="1">
      <c r="A59" s="84">
        <v>11</v>
      </c>
      <c r="B59" s="93" t="s">
        <v>332</v>
      </c>
      <c r="C59" s="93" t="s">
        <v>595</v>
      </c>
      <c r="D59" s="84" t="s">
        <v>43</v>
      </c>
      <c r="E59" s="84">
        <v>8</v>
      </c>
      <c r="F59" s="237">
        <f>5100*12/2001</f>
        <v>30.584707646176913</v>
      </c>
      <c r="G59" s="85">
        <f t="shared" si="1"/>
        <v>244.6776611694153</v>
      </c>
    </row>
    <row r="60" spans="1:9" ht="15" customHeight="1">
      <c r="A60" s="84">
        <v>12</v>
      </c>
      <c r="B60" s="93" t="s">
        <v>263</v>
      </c>
      <c r="C60" s="93" t="s">
        <v>596</v>
      </c>
      <c r="D60" s="84" t="s">
        <v>43</v>
      </c>
      <c r="E60" s="84">
        <v>16</v>
      </c>
      <c r="F60" s="237">
        <f>(2570+3820)*12/4002</f>
        <v>19.160419790104946</v>
      </c>
      <c r="G60" s="85">
        <f t="shared" si="1"/>
        <v>306.56671664167914</v>
      </c>
      <c r="I60" s="234"/>
    </row>
    <row r="61" spans="1:9" ht="15" customHeight="1">
      <c r="A61" s="84">
        <v>13</v>
      </c>
      <c r="B61" s="93" t="s">
        <v>80</v>
      </c>
      <c r="C61" s="93" t="s">
        <v>303</v>
      </c>
      <c r="D61" s="84" t="s">
        <v>43</v>
      </c>
      <c r="E61" s="94" t="s">
        <v>240</v>
      </c>
      <c r="F61" s="237">
        <f>3160*12/2001</f>
        <v>18.950524737631184</v>
      </c>
      <c r="G61" s="85">
        <f t="shared" si="1"/>
        <v>151.60419790104947</v>
      </c>
      <c r="I61" s="234"/>
    </row>
    <row r="62" spans="1:9" ht="15" customHeight="1">
      <c r="A62" s="84">
        <v>14</v>
      </c>
      <c r="B62" s="93" t="s">
        <v>597</v>
      </c>
      <c r="C62" s="93" t="s">
        <v>395</v>
      </c>
      <c r="D62" s="84" t="s">
        <v>43</v>
      </c>
      <c r="E62" s="94" t="s">
        <v>353</v>
      </c>
      <c r="F62" s="237">
        <f>3060*12/2001</f>
        <v>18.350824587706146</v>
      </c>
      <c r="G62" s="85">
        <f>E62*F62</f>
        <v>36.70164917541229</v>
      </c>
      <c r="I62" s="63"/>
    </row>
    <row r="63" spans="1:7" ht="15" customHeight="1">
      <c r="A63" s="84"/>
      <c r="B63" s="93" t="s">
        <v>82</v>
      </c>
      <c r="C63" s="93"/>
      <c r="D63" s="84"/>
      <c r="E63" s="84"/>
      <c r="F63" s="84"/>
      <c r="G63" s="85">
        <f>SUM(G49:G62)</f>
        <v>6827.406296851574</v>
      </c>
    </row>
    <row r="64" ht="15" customHeight="1">
      <c r="A64" s="95"/>
    </row>
    <row r="65" ht="15" thickBot="1">
      <c r="A65" s="76" t="s">
        <v>83</v>
      </c>
    </row>
    <row r="66" spans="1:7" ht="28.5" customHeight="1">
      <c r="A66" s="96" t="s">
        <v>37</v>
      </c>
      <c r="B66" s="598" t="s">
        <v>38</v>
      </c>
      <c r="C66" s="599"/>
      <c r="D66" s="78" t="s">
        <v>39</v>
      </c>
      <c r="E66" s="78" t="s">
        <v>207</v>
      </c>
      <c r="F66" s="78" t="s">
        <v>58</v>
      </c>
      <c r="G66" s="78" t="s">
        <v>59</v>
      </c>
    </row>
    <row r="67" spans="1:7" ht="15" customHeight="1">
      <c r="A67" s="84" t="s">
        <v>9</v>
      </c>
      <c r="B67" s="613" t="s">
        <v>84</v>
      </c>
      <c r="C67" s="613"/>
      <c r="D67" s="84" t="s">
        <v>85</v>
      </c>
      <c r="E67" s="97"/>
      <c r="F67" s="97"/>
      <c r="G67" s="85">
        <f>(G44+G63)*0.23</f>
        <v>1611.7931034482758</v>
      </c>
    </row>
    <row r="68" spans="1:7" ht="15" customHeight="1">
      <c r="A68" s="84" t="s">
        <v>45</v>
      </c>
      <c r="B68" s="613" t="s">
        <v>539</v>
      </c>
      <c r="C68" s="613"/>
      <c r="D68" s="84" t="s">
        <v>85</v>
      </c>
      <c r="E68" s="97"/>
      <c r="F68" s="97"/>
      <c r="G68" s="85">
        <f>(G44+G63)*0.04</f>
        <v>280.311844077961</v>
      </c>
    </row>
    <row r="69" ht="18" customHeight="1">
      <c r="A69" s="95"/>
    </row>
    <row r="70" ht="15" thickBot="1">
      <c r="A70" s="76" t="s">
        <v>87</v>
      </c>
    </row>
    <row r="71" spans="1:7" ht="27" customHeight="1" thickBot="1">
      <c r="A71" s="78" t="s">
        <v>37</v>
      </c>
      <c r="B71" s="598" t="s">
        <v>38</v>
      </c>
      <c r="C71" s="599"/>
      <c r="D71" s="77" t="s">
        <v>39</v>
      </c>
      <c r="E71" s="96" t="s">
        <v>207</v>
      </c>
      <c r="F71" s="78" t="s">
        <v>58</v>
      </c>
      <c r="G71" s="78" t="s">
        <v>59</v>
      </c>
    </row>
    <row r="72" spans="1:7" ht="15" customHeight="1">
      <c r="A72" s="625"/>
      <c r="B72" s="625"/>
      <c r="C72" s="625"/>
      <c r="D72" s="98"/>
      <c r="E72" s="98"/>
      <c r="F72" s="99"/>
      <c r="G72" s="99"/>
    </row>
    <row r="73" spans="1:7" ht="14.25">
      <c r="A73" s="620" t="s">
        <v>88</v>
      </c>
      <c r="B73" s="620"/>
      <c r="C73" s="620"/>
      <c r="D73" s="87"/>
      <c r="E73" s="87"/>
      <c r="F73" s="89"/>
      <c r="G73" s="89"/>
    </row>
    <row r="74" spans="1:7" ht="15" customHeight="1">
      <c r="A74" s="100" t="s">
        <v>9</v>
      </c>
      <c r="B74" s="613" t="s">
        <v>313</v>
      </c>
      <c r="C74" s="613"/>
      <c r="D74" s="84"/>
      <c r="E74" s="84"/>
      <c r="F74" s="84"/>
      <c r="G74" s="84"/>
    </row>
    <row r="75" spans="1:7" ht="15" customHeight="1">
      <c r="A75" s="100" t="s">
        <v>45</v>
      </c>
      <c r="B75" s="613" t="s">
        <v>90</v>
      </c>
      <c r="C75" s="613"/>
      <c r="D75" s="84" t="s">
        <v>91</v>
      </c>
      <c r="E75" s="84"/>
      <c r="F75" s="84"/>
      <c r="G75" s="85"/>
    </row>
    <row r="76" spans="1:7" ht="15" customHeight="1">
      <c r="A76" s="100" t="s">
        <v>14</v>
      </c>
      <c r="B76" s="613" t="s">
        <v>92</v>
      </c>
      <c r="C76" s="613"/>
      <c r="D76" s="84" t="s">
        <v>91</v>
      </c>
      <c r="E76" s="84"/>
      <c r="F76" s="84"/>
      <c r="G76" s="85"/>
    </row>
    <row r="77" spans="1:7" ht="15" customHeight="1">
      <c r="A77" s="100" t="s">
        <v>49</v>
      </c>
      <c r="B77" s="613" t="s">
        <v>93</v>
      </c>
      <c r="C77" s="613"/>
      <c r="D77" s="84" t="s">
        <v>91</v>
      </c>
      <c r="E77" s="84"/>
      <c r="F77" s="84"/>
      <c r="G77" s="85"/>
    </row>
    <row r="78" spans="1:7" ht="15" customHeight="1">
      <c r="A78" s="100" t="s">
        <v>19</v>
      </c>
      <c r="B78" s="613" t="s">
        <v>94</v>
      </c>
      <c r="C78" s="613"/>
      <c r="D78" s="84"/>
      <c r="E78" s="84"/>
      <c r="F78" s="84"/>
      <c r="G78" s="84"/>
    </row>
    <row r="79" spans="1:7" ht="15" customHeight="1">
      <c r="A79" s="100"/>
      <c r="B79" s="619" t="s">
        <v>95</v>
      </c>
      <c r="C79" s="619"/>
      <c r="D79" s="101" t="s">
        <v>96</v>
      </c>
      <c r="E79" s="101"/>
      <c r="F79" s="101"/>
      <c r="G79" s="101"/>
    </row>
    <row r="80" spans="1:7" ht="15" customHeight="1">
      <c r="A80" s="100"/>
      <c r="B80" s="619" t="s">
        <v>97</v>
      </c>
      <c r="C80" s="619"/>
      <c r="D80" s="101" t="s">
        <v>91</v>
      </c>
      <c r="E80" s="101"/>
      <c r="F80" s="101"/>
      <c r="G80" s="101"/>
    </row>
    <row r="81" spans="1:7" ht="15" customHeight="1">
      <c r="A81" s="100"/>
      <c r="B81" s="619" t="s">
        <v>98</v>
      </c>
      <c r="C81" s="619"/>
      <c r="D81" s="101" t="s">
        <v>85</v>
      </c>
      <c r="E81" s="101"/>
      <c r="F81" s="101"/>
      <c r="G81" s="42"/>
    </row>
    <row r="82" spans="1:7" ht="15" customHeight="1">
      <c r="A82" s="100" t="s">
        <v>54</v>
      </c>
      <c r="B82" s="613" t="s">
        <v>99</v>
      </c>
      <c r="C82" s="613"/>
      <c r="D82" s="101"/>
      <c r="E82" s="101"/>
      <c r="F82" s="101"/>
      <c r="G82" s="101"/>
    </row>
    <row r="83" spans="1:7" ht="15" customHeight="1">
      <c r="A83" s="100"/>
      <c r="B83" s="619" t="s">
        <v>97</v>
      </c>
      <c r="C83" s="619"/>
      <c r="D83" s="101" t="s">
        <v>91</v>
      </c>
      <c r="E83" s="101"/>
      <c r="F83" s="101"/>
      <c r="G83" s="101"/>
    </row>
    <row r="84" spans="1:7" ht="15" customHeight="1">
      <c r="A84" s="100"/>
      <c r="B84" s="619" t="s">
        <v>100</v>
      </c>
      <c r="C84" s="619"/>
      <c r="D84" s="101" t="s">
        <v>101</v>
      </c>
      <c r="E84" s="43"/>
      <c r="F84" s="41"/>
      <c r="G84" s="42"/>
    </row>
    <row r="85" spans="1:7" ht="15" customHeight="1">
      <c r="A85" s="100"/>
      <c r="B85" s="619" t="s">
        <v>102</v>
      </c>
      <c r="C85" s="619"/>
      <c r="D85" s="101" t="s">
        <v>91</v>
      </c>
      <c r="E85" s="41"/>
      <c r="F85" s="44"/>
      <c r="G85" s="42"/>
    </row>
    <row r="86" spans="1:7" ht="14.25" customHeight="1">
      <c r="A86" s="620"/>
      <c r="B86" s="620"/>
      <c r="C86" s="620"/>
      <c r="D86" s="102"/>
      <c r="E86" s="102"/>
      <c r="F86" s="102"/>
      <c r="G86" s="102"/>
    </row>
    <row r="87" spans="1:7" ht="14.25">
      <c r="A87" s="620" t="s">
        <v>103</v>
      </c>
      <c r="B87" s="620"/>
      <c r="C87" s="620"/>
      <c r="D87" s="102"/>
      <c r="E87" s="102"/>
      <c r="F87" s="102"/>
      <c r="G87" s="102"/>
    </row>
    <row r="88" spans="1:7" ht="15" customHeight="1">
      <c r="A88" s="100"/>
      <c r="B88" s="619" t="s">
        <v>97</v>
      </c>
      <c r="C88" s="619"/>
      <c r="D88" s="101" t="s">
        <v>91</v>
      </c>
      <c r="E88" s="101">
        <v>32</v>
      </c>
      <c r="F88" s="101"/>
      <c r="G88" s="101"/>
    </row>
    <row r="89" spans="1:7" ht="15" customHeight="1">
      <c r="A89" s="100"/>
      <c r="B89" s="619" t="s">
        <v>104</v>
      </c>
      <c r="C89" s="619"/>
      <c r="D89" s="101" t="s">
        <v>101</v>
      </c>
      <c r="E89" s="101">
        <v>1.35</v>
      </c>
      <c r="F89" s="101">
        <v>1.68</v>
      </c>
      <c r="G89" s="103">
        <f>E88*E89*F89</f>
        <v>72.57600000000001</v>
      </c>
    </row>
    <row r="90" spans="1:7" ht="14.25" customHeight="1">
      <c r="A90" s="100"/>
      <c r="B90" s="619" t="s">
        <v>105</v>
      </c>
      <c r="C90" s="619"/>
      <c r="D90" s="101" t="s">
        <v>85</v>
      </c>
      <c r="E90" s="101"/>
      <c r="F90" s="101">
        <v>11.8</v>
      </c>
      <c r="G90" s="103">
        <f>E88*F90</f>
        <v>377.6</v>
      </c>
    </row>
    <row r="91" spans="1:7" ht="15" customHeight="1">
      <c r="A91" s="620"/>
      <c r="B91" s="620"/>
      <c r="C91" s="620"/>
      <c r="D91" s="102"/>
      <c r="E91" s="102"/>
      <c r="F91" s="102"/>
      <c r="G91" s="102"/>
    </row>
    <row r="92" spans="1:7" ht="14.25">
      <c r="A92" s="620" t="s">
        <v>106</v>
      </c>
      <c r="B92" s="620"/>
      <c r="C92" s="620"/>
      <c r="D92" s="102"/>
      <c r="E92" s="102"/>
      <c r="F92" s="102"/>
      <c r="G92" s="102"/>
    </row>
    <row r="93" spans="1:7" ht="15" customHeight="1">
      <c r="A93" s="100"/>
      <c r="B93" s="619" t="s">
        <v>97</v>
      </c>
      <c r="C93" s="619"/>
      <c r="D93" s="101" t="s">
        <v>91</v>
      </c>
      <c r="E93" s="101">
        <v>12</v>
      </c>
      <c r="F93" s="101"/>
      <c r="G93" s="101"/>
    </row>
    <row r="94" spans="1:7" ht="15" customHeight="1">
      <c r="A94" s="100"/>
      <c r="B94" s="619" t="s">
        <v>104</v>
      </c>
      <c r="C94" s="619"/>
      <c r="D94" s="101" t="s">
        <v>101</v>
      </c>
      <c r="E94" s="101">
        <v>0.5</v>
      </c>
      <c r="F94" s="101">
        <v>1.68</v>
      </c>
      <c r="G94" s="103">
        <f>E93*E94*F94</f>
        <v>10.08</v>
      </c>
    </row>
    <row r="95" spans="1:7" ht="14.25" customHeight="1">
      <c r="A95" s="100"/>
      <c r="B95" s="619" t="s">
        <v>107</v>
      </c>
      <c r="C95" s="619"/>
      <c r="D95" s="101" t="s">
        <v>85</v>
      </c>
      <c r="E95" s="101"/>
      <c r="F95" s="101">
        <v>0.6</v>
      </c>
      <c r="G95" s="101">
        <f>E93*F95</f>
        <v>7.199999999999999</v>
      </c>
    </row>
    <row r="99" spans="1:7" ht="15.75">
      <c r="A99" s="620" t="s">
        <v>208</v>
      </c>
      <c r="B99" s="620"/>
      <c r="C99" s="620"/>
      <c r="D99" s="87"/>
      <c r="E99" s="87"/>
      <c r="F99" s="89"/>
      <c r="G99" s="89"/>
    </row>
    <row r="100" spans="1:7" ht="18.75" customHeight="1">
      <c r="A100" s="93"/>
      <c r="B100" s="621"/>
      <c r="C100" s="621"/>
      <c r="D100" s="84"/>
      <c r="E100" s="84"/>
      <c r="F100" s="84"/>
      <c r="G100" s="84"/>
    </row>
    <row r="101" spans="1:7" ht="14.25">
      <c r="A101" s="93"/>
      <c r="B101" s="587"/>
      <c r="C101" s="588"/>
      <c r="D101" s="84"/>
      <c r="E101" s="94"/>
      <c r="F101" s="84"/>
      <c r="G101" s="85">
        <f>SUM(G100:G100)</f>
        <v>0</v>
      </c>
    </row>
    <row r="102" spans="1:7" ht="14.25" customHeight="1">
      <c r="A102" s="84"/>
      <c r="B102" s="587" t="s">
        <v>108</v>
      </c>
      <c r="C102" s="588"/>
      <c r="D102" s="84"/>
      <c r="E102" s="94"/>
      <c r="F102" s="84"/>
      <c r="G102" s="85">
        <f>SUM(G75:G101)</f>
        <v>467.456</v>
      </c>
    </row>
    <row r="103" spans="1:7" ht="12.75">
      <c r="A103" s="104"/>
      <c r="B103" s="104"/>
      <c r="C103" s="104"/>
      <c r="D103" s="104"/>
      <c r="E103" s="104"/>
      <c r="F103" s="104"/>
      <c r="G103" s="104"/>
    </row>
    <row r="104" ht="15" thickBot="1">
      <c r="A104" s="76" t="s">
        <v>110</v>
      </c>
    </row>
    <row r="105" spans="1:7" ht="26.25" customHeight="1">
      <c r="A105" s="96" t="s">
        <v>37</v>
      </c>
      <c r="B105" s="105" t="s">
        <v>38</v>
      </c>
      <c r="C105" s="106"/>
      <c r="D105" s="77" t="s">
        <v>39</v>
      </c>
      <c r="E105" s="78" t="s">
        <v>207</v>
      </c>
      <c r="F105" s="78" t="s">
        <v>58</v>
      </c>
      <c r="G105" s="78" t="s">
        <v>59</v>
      </c>
    </row>
    <row r="106" spans="1:7" ht="15" customHeight="1">
      <c r="A106" s="84" t="s">
        <v>9</v>
      </c>
      <c r="B106" s="613" t="s">
        <v>111</v>
      </c>
      <c r="C106" s="613"/>
      <c r="D106" s="101" t="s">
        <v>91</v>
      </c>
      <c r="E106" s="101"/>
      <c r="F106" s="101"/>
      <c r="G106" s="84">
        <f>E106*F106</f>
        <v>0</v>
      </c>
    </row>
    <row r="107" spans="1:7" ht="15" customHeight="1">
      <c r="A107" s="84" t="s">
        <v>45</v>
      </c>
      <c r="B107" s="613" t="s">
        <v>112</v>
      </c>
      <c r="C107" s="613"/>
      <c r="D107" s="101" t="s">
        <v>91</v>
      </c>
      <c r="E107" s="101"/>
      <c r="F107" s="101"/>
      <c r="G107" s="84">
        <f>E107*F107</f>
        <v>0</v>
      </c>
    </row>
    <row r="108" spans="1:7" ht="15" customHeight="1">
      <c r="A108" s="84" t="s">
        <v>14</v>
      </c>
      <c r="B108" s="613" t="s">
        <v>113</v>
      </c>
      <c r="C108" s="613"/>
      <c r="D108" s="101" t="s">
        <v>91</v>
      </c>
      <c r="E108" s="101"/>
      <c r="F108" s="101"/>
      <c r="G108" s="84">
        <f>E108*F108</f>
        <v>0</v>
      </c>
    </row>
    <row r="109" spans="1:7" ht="15" customHeight="1">
      <c r="A109" s="84" t="s">
        <v>49</v>
      </c>
      <c r="B109" s="613" t="s">
        <v>94</v>
      </c>
      <c r="C109" s="613"/>
      <c r="D109" s="101"/>
      <c r="E109" s="101"/>
      <c r="F109" s="101"/>
      <c r="G109" s="101"/>
    </row>
    <row r="110" spans="1:7" ht="15" customHeight="1">
      <c r="A110" s="84"/>
      <c r="B110" s="619" t="s">
        <v>95</v>
      </c>
      <c r="C110" s="619"/>
      <c r="D110" s="101" t="s">
        <v>96</v>
      </c>
      <c r="E110" s="101">
        <v>1</v>
      </c>
      <c r="F110" s="101"/>
      <c r="G110" s="101"/>
    </row>
    <row r="111" spans="1:7" ht="15" customHeight="1">
      <c r="A111" s="84"/>
      <c r="B111" s="619" t="s">
        <v>97</v>
      </c>
      <c r="C111" s="619"/>
      <c r="D111" s="101" t="s">
        <v>91</v>
      </c>
      <c r="E111" s="101">
        <v>32</v>
      </c>
      <c r="F111" s="101"/>
      <c r="G111" s="101"/>
    </row>
    <row r="112" spans="1:7" ht="15" customHeight="1">
      <c r="A112" s="84"/>
      <c r="B112" s="619" t="s">
        <v>114</v>
      </c>
      <c r="C112" s="619"/>
      <c r="D112" s="101" t="s">
        <v>85</v>
      </c>
      <c r="E112" s="101"/>
      <c r="F112" s="101">
        <v>16.04</v>
      </c>
      <c r="G112" s="103">
        <f>E110*E111*F112</f>
        <v>513.28</v>
      </c>
    </row>
    <row r="113" spans="1:7" ht="15" customHeight="1">
      <c r="A113" s="84" t="s">
        <v>19</v>
      </c>
      <c r="B113" s="630" t="s">
        <v>115</v>
      </c>
      <c r="C113" s="630"/>
      <c r="D113" s="101"/>
      <c r="E113" s="101"/>
      <c r="F113" s="101"/>
      <c r="G113" s="101"/>
    </row>
    <row r="114" spans="1:7" ht="15" customHeight="1">
      <c r="A114" s="84"/>
      <c r="B114" s="619" t="s">
        <v>116</v>
      </c>
      <c r="C114" s="619"/>
      <c r="D114" s="101" t="s">
        <v>117</v>
      </c>
      <c r="E114" s="101"/>
      <c r="F114" s="101"/>
      <c r="G114" s="101"/>
    </row>
    <row r="115" spans="1:7" ht="15" customHeight="1">
      <c r="A115" s="84"/>
      <c r="B115" s="619" t="s">
        <v>118</v>
      </c>
      <c r="C115" s="619"/>
      <c r="D115" s="101" t="s">
        <v>85</v>
      </c>
      <c r="E115" s="101"/>
      <c r="F115" s="107"/>
      <c r="G115" s="103">
        <f>E114*E115*F115</f>
        <v>0</v>
      </c>
    </row>
    <row r="116" spans="1:7" ht="15" customHeight="1">
      <c r="A116" s="84" t="s">
        <v>54</v>
      </c>
      <c r="B116" s="630" t="s">
        <v>119</v>
      </c>
      <c r="C116" s="630"/>
      <c r="D116" s="101"/>
      <c r="E116" s="101"/>
      <c r="F116" s="101"/>
      <c r="G116" s="101"/>
    </row>
    <row r="117" spans="1:7" ht="15" customHeight="1">
      <c r="A117" s="84"/>
      <c r="B117" s="619" t="s">
        <v>120</v>
      </c>
      <c r="C117" s="619"/>
      <c r="D117" s="101" t="s">
        <v>117</v>
      </c>
      <c r="E117" s="101">
        <v>1</v>
      </c>
      <c r="F117" s="101"/>
      <c r="G117" s="101"/>
    </row>
    <row r="118" spans="1:7" ht="15" customHeight="1">
      <c r="A118" s="84"/>
      <c r="B118" s="619" t="s">
        <v>121</v>
      </c>
      <c r="C118" s="619"/>
      <c r="D118" s="101" t="s">
        <v>85</v>
      </c>
      <c r="E118" s="101">
        <v>10</v>
      </c>
      <c r="F118" s="101">
        <v>0.66</v>
      </c>
      <c r="G118" s="101">
        <f>E117*E118*F118</f>
        <v>6.6000000000000005</v>
      </c>
    </row>
    <row r="119" spans="1:7" ht="15" customHeight="1">
      <c r="A119" s="84" t="s">
        <v>22</v>
      </c>
      <c r="B119" s="630" t="s">
        <v>99</v>
      </c>
      <c r="C119" s="630"/>
      <c r="D119" s="101"/>
      <c r="E119" s="101"/>
      <c r="F119" s="101"/>
      <c r="G119" s="101"/>
    </row>
    <row r="120" spans="1:7" ht="15" customHeight="1">
      <c r="A120" s="84"/>
      <c r="B120" s="619" t="s">
        <v>97</v>
      </c>
      <c r="C120" s="619"/>
      <c r="D120" s="101" t="s">
        <v>91</v>
      </c>
      <c r="E120" s="101">
        <v>16</v>
      </c>
      <c r="F120" s="101"/>
      <c r="G120" s="101"/>
    </row>
    <row r="121" spans="1:7" ht="15" customHeight="1">
      <c r="A121" s="84"/>
      <c r="B121" s="619" t="s">
        <v>102</v>
      </c>
      <c r="C121" s="619"/>
      <c r="D121" s="101" t="s">
        <v>85</v>
      </c>
      <c r="E121" s="101"/>
      <c r="F121" s="101">
        <v>3.71</v>
      </c>
      <c r="G121" s="103">
        <f>E120*F121</f>
        <v>59.36</v>
      </c>
    </row>
    <row r="122" spans="1:7" ht="14.25" customHeight="1">
      <c r="A122" s="84" t="s">
        <v>72</v>
      </c>
      <c r="B122" s="613" t="s">
        <v>122</v>
      </c>
      <c r="C122" s="613"/>
      <c r="D122" s="101" t="s">
        <v>91</v>
      </c>
      <c r="E122" s="101"/>
      <c r="F122" s="101"/>
      <c r="G122" s="101">
        <f>E122*F122</f>
        <v>0</v>
      </c>
    </row>
    <row r="123" spans="1:7" ht="14.25" customHeight="1">
      <c r="A123" s="84"/>
      <c r="B123" s="587" t="s">
        <v>123</v>
      </c>
      <c r="C123" s="588"/>
      <c r="D123" s="84"/>
      <c r="E123" s="94"/>
      <c r="F123" s="84"/>
      <c r="G123" s="85">
        <f>SUM(G106:G122)</f>
        <v>579.24</v>
      </c>
    </row>
    <row r="124" ht="14.25">
      <c r="A124" s="67"/>
    </row>
    <row r="125" ht="14.25">
      <c r="A125" s="76" t="s">
        <v>124</v>
      </c>
    </row>
    <row r="126" ht="15" thickBot="1">
      <c r="A126" s="76"/>
    </row>
    <row r="127" spans="1:9" ht="29.25" customHeight="1">
      <c r="A127" s="96" t="s">
        <v>37</v>
      </c>
      <c r="B127" s="105" t="s">
        <v>38</v>
      </c>
      <c r="C127" s="106"/>
      <c r="D127" s="77" t="s">
        <v>39</v>
      </c>
      <c r="E127" s="108" t="s">
        <v>207</v>
      </c>
      <c r="F127" s="78" t="s">
        <v>58</v>
      </c>
      <c r="G127" s="78" t="s">
        <v>59</v>
      </c>
      <c r="H127" s="109"/>
      <c r="I127" s="110"/>
    </row>
    <row r="128" spans="1:9" ht="15" customHeight="1">
      <c r="A128" s="84" t="s">
        <v>9</v>
      </c>
      <c r="B128" s="613" t="s">
        <v>125</v>
      </c>
      <c r="C128" s="613"/>
      <c r="D128" s="101" t="s">
        <v>96</v>
      </c>
      <c r="E128" s="101">
        <v>1</v>
      </c>
      <c r="F128" s="101"/>
      <c r="G128" s="101"/>
      <c r="H128" s="89"/>
      <c r="I128" s="110"/>
    </row>
    <row r="129" spans="1:9" ht="15" customHeight="1">
      <c r="A129" s="84" t="s">
        <v>45</v>
      </c>
      <c r="B129" s="613" t="s">
        <v>126</v>
      </c>
      <c r="C129" s="613"/>
      <c r="D129" s="101" t="s">
        <v>127</v>
      </c>
      <c r="E129" s="101">
        <v>160</v>
      </c>
      <c r="F129" s="101"/>
      <c r="G129" s="101"/>
      <c r="H129" s="89"/>
      <c r="I129" s="110"/>
    </row>
    <row r="130" spans="1:9" ht="26.25" customHeight="1">
      <c r="A130" s="84" t="s">
        <v>14</v>
      </c>
      <c r="B130" s="613" t="s">
        <v>128</v>
      </c>
      <c r="C130" s="613"/>
      <c r="D130" s="101" t="s">
        <v>129</v>
      </c>
      <c r="E130" s="101"/>
      <c r="F130" s="44">
        <f>1880.95/722.42</f>
        <v>2.6036793001301186</v>
      </c>
      <c r="G130" s="103">
        <f>E128*E130*F130</f>
        <v>0</v>
      </c>
      <c r="H130" s="89"/>
      <c r="I130" s="110"/>
    </row>
    <row r="131" spans="1:9" ht="14.25" customHeight="1">
      <c r="A131" s="84" t="s">
        <v>49</v>
      </c>
      <c r="B131" s="613" t="s">
        <v>130</v>
      </c>
      <c r="C131" s="613"/>
      <c r="D131" s="101" t="s">
        <v>131</v>
      </c>
      <c r="E131" s="101"/>
      <c r="F131" s="101"/>
      <c r="G131" s="101"/>
      <c r="H131" s="89"/>
      <c r="I131" s="110"/>
    </row>
    <row r="132" spans="1:9" ht="15" customHeight="1">
      <c r="A132" s="84"/>
      <c r="B132" s="613" t="s">
        <v>132</v>
      </c>
      <c r="C132" s="613"/>
      <c r="D132" s="101" t="s">
        <v>131</v>
      </c>
      <c r="E132" s="101"/>
      <c r="F132" s="101"/>
      <c r="G132" s="101">
        <f>E132*F132</f>
        <v>0</v>
      </c>
      <c r="H132" s="89"/>
      <c r="I132" s="110"/>
    </row>
    <row r="133" spans="1:9" ht="15">
      <c r="A133" s="84"/>
      <c r="B133" s="613" t="s">
        <v>133</v>
      </c>
      <c r="C133" s="613"/>
      <c r="D133" s="101" t="s">
        <v>131</v>
      </c>
      <c r="E133" s="341">
        <f>6.6/100*E129</f>
        <v>10.56</v>
      </c>
      <c r="F133" s="111">
        <v>15.83</v>
      </c>
      <c r="G133" s="103">
        <f>E133*F133</f>
        <v>167.1648</v>
      </c>
      <c r="H133" s="89"/>
      <c r="I133" s="110"/>
    </row>
    <row r="134" spans="1:9" ht="15">
      <c r="A134" s="84"/>
      <c r="B134" s="613" t="s">
        <v>134</v>
      </c>
      <c r="C134" s="613"/>
      <c r="D134" s="101" t="s">
        <v>131</v>
      </c>
      <c r="E134" s="101"/>
      <c r="F134" s="101"/>
      <c r="G134" s="101">
        <f>E134*F134</f>
        <v>0</v>
      </c>
      <c r="H134" s="89"/>
      <c r="I134" s="110"/>
    </row>
    <row r="135" spans="1:9" ht="15">
      <c r="A135" s="84"/>
      <c r="B135" s="587" t="s">
        <v>135</v>
      </c>
      <c r="C135" s="588"/>
      <c r="D135" s="84"/>
      <c r="E135" s="94"/>
      <c r="F135" s="84"/>
      <c r="G135" s="85">
        <f>SUM(G128:G134)</f>
        <v>167.1648</v>
      </c>
      <c r="H135" s="89"/>
      <c r="I135" s="110"/>
    </row>
    <row r="136" spans="1:9" ht="12.75">
      <c r="A136" s="104"/>
      <c r="B136" s="104"/>
      <c r="C136" s="104"/>
      <c r="D136" s="104"/>
      <c r="E136" s="104"/>
      <c r="F136" s="104"/>
      <c r="G136" s="104"/>
      <c r="H136" s="104"/>
      <c r="I136" s="104"/>
    </row>
    <row r="137" ht="15" thickBot="1">
      <c r="A137" s="76" t="s">
        <v>136</v>
      </c>
    </row>
    <row r="138" spans="1:7" ht="28.5" customHeight="1">
      <c r="A138" s="96" t="s">
        <v>37</v>
      </c>
      <c r="B138" s="105" t="s">
        <v>38</v>
      </c>
      <c r="C138" s="106"/>
      <c r="D138" s="78" t="s">
        <v>39</v>
      </c>
      <c r="E138" s="78" t="s">
        <v>207</v>
      </c>
      <c r="F138" s="78" t="s">
        <v>58</v>
      </c>
      <c r="G138" s="78" t="s">
        <v>59</v>
      </c>
    </row>
    <row r="139" spans="1:7" ht="14.25" customHeight="1">
      <c r="A139" s="84" t="s">
        <v>9</v>
      </c>
      <c r="B139" s="613" t="s">
        <v>137</v>
      </c>
      <c r="C139" s="613"/>
      <c r="D139" s="84" t="s">
        <v>138</v>
      </c>
      <c r="E139" s="101"/>
      <c r="F139" s="101"/>
      <c r="G139" s="101"/>
    </row>
    <row r="140" spans="1:7" ht="14.25" customHeight="1">
      <c r="A140" s="84" t="s">
        <v>45</v>
      </c>
      <c r="B140" s="613" t="s">
        <v>139</v>
      </c>
      <c r="C140" s="613"/>
      <c r="D140" s="622"/>
      <c r="E140" s="622"/>
      <c r="F140" s="622"/>
      <c r="G140" s="622"/>
    </row>
    <row r="141" spans="1:7" ht="14.25" customHeight="1">
      <c r="A141" s="84" t="s">
        <v>14</v>
      </c>
      <c r="B141" s="613" t="s">
        <v>140</v>
      </c>
      <c r="C141" s="613"/>
      <c r="D141" s="622"/>
      <c r="E141" s="622"/>
      <c r="F141" s="622"/>
      <c r="G141" s="622"/>
    </row>
    <row r="142" spans="1:7" ht="15" customHeight="1">
      <c r="A142" s="84" t="s">
        <v>49</v>
      </c>
      <c r="B142" s="613" t="s">
        <v>141</v>
      </c>
      <c r="C142" s="613"/>
      <c r="D142" s="84" t="s">
        <v>138</v>
      </c>
      <c r="E142" s="101"/>
      <c r="F142" s="101"/>
      <c r="G142" s="103">
        <f>E142*F142*E139</f>
        <v>0</v>
      </c>
    </row>
    <row r="143" spans="1:7" ht="15" customHeight="1">
      <c r="A143" s="84" t="s">
        <v>19</v>
      </c>
      <c r="B143" s="613" t="s">
        <v>142</v>
      </c>
      <c r="C143" s="613"/>
      <c r="D143" s="84" t="s">
        <v>138</v>
      </c>
      <c r="E143" s="101"/>
      <c r="F143" s="101"/>
      <c r="G143" s="101">
        <f>E143*F143*E139</f>
        <v>0</v>
      </c>
    </row>
    <row r="144" spans="1:7" ht="15" customHeight="1">
      <c r="A144" s="84" t="s">
        <v>54</v>
      </c>
      <c r="B144" s="613" t="s">
        <v>143</v>
      </c>
      <c r="C144" s="613"/>
      <c r="D144" s="84" t="s">
        <v>85</v>
      </c>
      <c r="E144" s="101"/>
      <c r="F144" s="101"/>
      <c r="G144" s="101">
        <f>E139*F144</f>
        <v>0</v>
      </c>
    </row>
    <row r="145" spans="1:7" ht="15" customHeight="1">
      <c r="A145" s="84" t="s">
        <v>22</v>
      </c>
      <c r="B145" s="613" t="s">
        <v>144</v>
      </c>
      <c r="C145" s="613"/>
      <c r="D145" s="84" t="s">
        <v>85</v>
      </c>
      <c r="E145" s="101"/>
      <c r="F145" s="101"/>
      <c r="G145" s="101">
        <f>E139*F145</f>
        <v>0</v>
      </c>
    </row>
    <row r="146" spans="1:7" ht="15" customHeight="1">
      <c r="A146" s="84" t="s">
        <v>72</v>
      </c>
      <c r="B146" s="613" t="s">
        <v>145</v>
      </c>
      <c r="C146" s="613"/>
      <c r="D146" s="84" t="s">
        <v>85</v>
      </c>
      <c r="E146" s="101"/>
      <c r="F146" s="101"/>
      <c r="G146" s="101">
        <f>E139*F146</f>
        <v>0</v>
      </c>
    </row>
    <row r="147" spans="1:7" ht="15" customHeight="1">
      <c r="A147" s="84" t="s">
        <v>26</v>
      </c>
      <c r="B147" s="613" t="s">
        <v>146</v>
      </c>
      <c r="C147" s="613"/>
      <c r="D147" s="84" t="s">
        <v>85</v>
      </c>
      <c r="E147" s="101"/>
      <c r="F147" s="101"/>
      <c r="G147" s="101">
        <f>F147</f>
        <v>0</v>
      </c>
    </row>
    <row r="148" spans="1:7" ht="14.25">
      <c r="A148" s="84"/>
      <c r="B148" s="587" t="s">
        <v>147</v>
      </c>
      <c r="C148" s="588"/>
      <c r="D148" s="84"/>
      <c r="E148" s="94"/>
      <c r="F148" s="84"/>
      <c r="G148" s="85">
        <f>SUM(G142:G147)</f>
        <v>0</v>
      </c>
    </row>
    <row r="149" ht="14.25">
      <c r="A149" s="67"/>
    </row>
    <row r="150" ht="14.25">
      <c r="A150" s="76" t="s">
        <v>148</v>
      </c>
    </row>
    <row r="151" ht="15" thickBot="1">
      <c r="A151" s="76"/>
    </row>
    <row r="152" spans="1:7" ht="28.5" customHeight="1">
      <c r="A152" s="96" t="s">
        <v>37</v>
      </c>
      <c r="B152" s="598" t="s">
        <v>38</v>
      </c>
      <c r="C152" s="599"/>
      <c r="D152" s="77" t="s">
        <v>39</v>
      </c>
      <c r="E152" s="78" t="s">
        <v>207</v>
      </c>
      <c r="F152" s="78" t="s">
        <v>58</v>
      </c>
      <c r="G152" s="78" t="s">
        <v>59</v>
      </c>
    </row>
    <row r="153" spans="1:7" ht="14.25" customHeight="1">
      <c r="A153" s="84" t="s">
        <v>9</v>
      </c>
      <c r="B153" s="613" t="s">
        <v>149</v>
      </c>
      <c r="C153" s="613"/>
      <c r="D153" s="84" t="s">
        <v>85</v>
      </c>
      <c r="E153" s="101"/>
      <c r="F153" s="101"/>
      <c r="G153" s="101"/>
    </row>
    <row r="154" spans="1:7" ht="14.25" customHeight="1">
      <c r="A154" s="84" t="s">
        <v>45</v>
      </c>
      <c r="B154" s="613" t="s">
        <v>150</v>
      </c>
      <c r="C154" s="613"/>
      <c r="D154" s="84" t="s">
        <v>85</v>
      </c>
      <c r="E154" s="101"/>
      <c r="F154" s="101"/>
      <c r="G154" s="101"/>
    </row>
    <row r="155" spans="1:7" ht="15" customHeight="1">
      <c r="A155" s="84" t="s">
        <v>14</v>
      </c>
      <c r="B155" s="613" t="s">
        <v>598</v>
      </c>
      <c r="C155" s="613"/>
      <c r="D155" s="84" t="s">
        <v>96</v>
      </c>
      <c r="E155" s="238">
        <f>10/13</f>
        <v>0.7692307692307693</v>
      </c>
      <c r="F155" s="101">
        <v>271.78</v>
      </c>
      <c r="G155" s="103">
        <f>E155*F155</f>
        <v>209.06153846153845</v>
      </c>
    </row>
    <row r="156" spans="1:7" ht="14.25">
      <c r="A156" s="84" t="s">
        <v>49</v>
      </c>
      <c r="B156" s="613" t="s">
        <v>599</v>
      </c>
      <c r="C156" s="613"/>
      <c r="D156" s="84" t="s">
        <v>96</v>
      </c>
      <c r="E156" s="238">
        <f>25/13</f>
        <v>1.9230769230769231</v>
      </c>
      <c r="F156" s="101">
        <v>14</v>
      </c>
      <c r="G156" s="103">
        <f>E156*F156</f>
        <v>26.923076923076923</v>
      </c>
    </row>
    <row r="157" spans="1:7" ht="15" customHeight="1">
      <c r="A157" s="84" t="s">
        <v>19</v>
      </c>
      <c r="B157" s="613" t="s">
        <v>153</v>
      </c>
      <c r="C157" s="613"/>
      <c r="D157" s="84"/>
      <c r="E157" s="101"/>
      <c r="F157" s="101"/>
      <c r="G157" s="101"/>
    </row>
    <row r="158" spans="1:7" ht="15" customHeight="1">
      <c r="A158" s="84" t="s">
        <v>54</v>
      </c>
      <c r="B158" s="613" t="s">
        <v>154</v>
      </c>
      <c r="C158" s="613"/>
      <c r="D158" s="84" t="s">
        <v>85</v>
      </c>
      <c r="E158" s="101"/>
      <c r="F158" s="101"/>
      <c r="G158" s="101"/>
    </row>
    <row r="159" spans="1:7" ht="15" customHeight="1">
      <c r="A159" s="84" t="s">
        <v>22</v>
      </c>
      <c r="B159" s="613" t="s">
        <v>155</v>
      </c>
      <c r="C159" s="613"/>
      <c r="D159" s="84" t="s">
        <v>85</v>
      </c>
      <c r="E159" s="101"/>
      <c r="F159" s="101"/>
      <c r="G159" s="101"/>
    </row>
    <row r="160" spans="1:7" ht="15" customHeight="1">
      <c r="A160" s="84" t="s">
        <v>72</v>
      </c>
      <c r="B160" s="613" t="s">
        <v>156</v>
      </c>
      <c r="C160" s="613"/>
      <c r="D160" s="84"/>
      <c r="E160" s="101"/>
      <c r="F160" s="101"/>
      <c r="G160" s="101"/>
    </row>
    <row r="161" spans="1:7" ht="16.5" customHeight="1">
      <c r="A161" s="84" t="s">
        <v>26</v>
      </c>
      <c r="B161" s="613" t="s">
        <v>306</v>
      </c>
      <c r="C161" s="613"/>
      <c r="D161" s="84" t="s">
        <v>85</v>
      </c>
      <c r="E161" s="101"/>
      <c r="F161" s="101"/>
      <c r="G161" s="101"/>
    </row>
    <row r="162" spans="1:7" ht="15" customHeight="1">
      <c r="A162" s="84"/>
      <c r="B162" s="587" t="s">
        <v>158</v>
      </c>
      <c r="C162" s="588"/>
      <c r="D162" s="84"/>
      <c r="E162" s="94"/>
      <c r="F162" s="84"/>
      <c r="G162" s="85">
        <f>SUM(G153:G161)</f>
        <v>235.98461538461538</v>
      </c>
    </row>
    <row r="163" ht="14.25">
      <c r="A163" s="67"/>
    </row>
    <row r="164" ht="14.25">
      <c r="A164" s="76" t="s">
        <v>159</v>
      </c>
    </row>
    <row r="165" ht="15" thickBot="1">
      <c r="A165" s="76"/>
    </row>
    <row r="166" spans="1:7" ht="28.5" customHeight="1">
      <c r="A166" s="623" t="s">
        <v>37</v>
      </c>
      <c r="B166" s="598" t="s">
        <v>38</v>
      </c>
      <c r="C166" s="599"/>
      <c r="D166" s="77" t="s">
        <v>39</v>
      </c>
      <c r="E166" s="78" t="s">
        <v>207</v>
      </c>
      <c r="F166" s="78" t="s">
        <v>58</v>
      </c>
      <c r="G166" s="78" t="s">
        <v>59</v>
      </c>
    </row>
    <row r="167" spans="1:7" ht="15" customHeight="1">
      <c r="A167" s="624"/>
      <c r="B167" s="600"/>
      <c r="C167" s="612"/>
      <c r="D167" s="112"/>
      <c r="E167" s="113"/>
      <c r="F167" s="113"/>
      <c r="G167" s="113"/>
    </row>
    <row r="168" spans="1:7" ht="15" customHeight="1">
      <c r="A168" s="84" t="s">
        <v>9</v>
      </c>
      <c r="B168" s="622" t="s">
        <v>160</v>
      </c>
      <c r="C168" s="622"/>
      <c r="D168" s="84" t="s">
        <v>85</v>
      </c>
      <c r="E168" s="84"/>
      <c r="F168" s="84"/>
      <c r="G168" s="84">
        <f>E168*F168</f>
        <v>0</v>
      </c>
    </row>
    <row r="169" spans="1:7" ht="15" customHeight="1">
      <c r="A169" s="84"/>
      <c r="B169" s="618"/>
      <c r="C169" s="618"/>
      <c r="D169" s="84"/>
      <c r="E169" s="84"/>
      <c r="F169" s="84"/>
      <c r="G169" s="84"/>
    </row>
    <row r="170" spans="1:7" ht="15" customHeight="1">
      <c r="A170" s="84"/>
      <c r="B170" s="587" t="s">
        <v>161</v>
      </c>
      <c r="C170" s="588"/>
      <c r="D170" s="84"/>
      <c r="E170" s="84"/>
      <c r="F170" s="84"/>
      <c r="G170" s="84">
        <f>SUM(G168:G169)</f>
        <v>0</v>
      </c>
    </row>
    <row r="171" ht="15" customHeight="1">
      <c r="A171" s="67"/>
    </row>
    <row r="172" ht="14.25">
      <c r="A172" s="76" t="s">
        <v>162</v>
      </c>
    </row>
    <row r="173" ht="15" thickBot="1">
      <c r="A173" s="76"/>
    </row>
    <row r="174" spans="1:7" ht="28.5" customHeight="1">
      <c r="A174" s="96" t="s">
        <v>37</v>
      </c>
      <c r="B174" s="598" t="s">
        <v>38</v>
      </c>
      <c r="C174" s="599"/>
      <c r="D174" s="77" t="s">
        <v>39</v>
      </c>
      <c r="E174" s="78" t="s">
        <v>207</v>
      </c>
      <c r="F174" s="78" t="s">
        <v>58</v>
      </c>
      <c r="G174" s="78" t="s">
        <v>59</v>
      </c>
    </row>
    <row r="175" spans="1:7" ht="14.25" customHeight="1">
      <c r="A175" s="84" t="s">
        <v>9</v>
      </c>
      <c r="B175" s="613" t="s">
        <v>163</v>
      </c>
      <c r="C175" s="613"/>
      <c r="D175" s="84"/>
      <c r="E175" s="84"/>
      <c r="F175" s="84"/>
      <c r="G175" s="84"/>
    </row>
    <row r="176" spans="1:7" ht="14.25" customHeight="1">
      <c r="A176" s="84"/>
      <c r="B176" s="613" t="s">
        <v>164</v>
      </c>
      <c r="C176" s="613"/>
      <c r="D176" s="84" t="s">
        <v>165</v>
      </c>
      <c r="E176" s="101"/>
      <c r="F176" s="101"/>
      <c r="G176" s="101"/>
    </row>
    <row r="177" spans="1:7" ht="14.25" customHeight="1">
      <c r="A177" s="84"/>
      <c r="B177" s="613" t="s">
        <v>167</v>
      </c>
      <c r="C177" s="613"/>
      <c r="D177" s="84" t="s">
        <v>165</v>
      </c>
      <c r="E177" s="101"/>
      <c r="F177" s="101"/>
      <c r="G177" s="101"/>
    </row>
    <row r="178" spans="1:7" ht="14.25" customHeight="1">
      <c r="A178" s="84"/>
      <c r="B178" s="613" t="s">
        <v>168</v>
      </c>
      <c r="C178" s="613"/>
      <c r="D178" s="84" t="s">
        <v>165</v>
      </c>
      <c r="E178" s="101"/>
      <c r="F178" s="101"/>
      <c r="G178" s="101"/>
    </row>
    <row r="179" spans="1:7" ht="29.25" customHeight="1">
      <c r="A179" s="84" t="s">
        <v>45</v>
      </c>
      <c r="B179" s="613" t="s">
        <v>170</v>
      </c>
      <c r="C179" s="613"/>
      <c r="D179" s="84" t="s">
        <v>165</v>
      </c>
      <c r="E179" s="101"/>
      <c r="F179" s="101"/>
      <c r="G179" s="101">
        <f aca="true" t="shared" si="2" ref="G179:G185">E179*F179</f>
        <v>0</v>
      </c>
    </row>
    <row r="180" spans="1:7" ht="15" customHeight="1">
      <c r="A180" s="84" t="s">
        <v>14</v>
      </c>
      <c r="B180" s="613" t="s">
        <v>171</v>
      </c>
      <c r="C180" s="613"/>
      <c r="D180" s="84" t="s">
        <v>85</v>
      </c>
      <c r="E180" s="101"/>
      <c r="F180" s="101"/>
      <c r="G180" s="101">
        <f t="shared" si="2"/>
        <v>0</v>
      </c>
    </row>
    <row r="181" spans="1:9" ht="15" customHeight="1">
      <c r="A181" s="84" t="s">
        <v>49</v>
      </c>
      <c r="B181" s="613" t="s">
        <v>172</v>
      </c>
      <c r="C181" s="613"/>
      <c r="D181" s="84" t="s">
        <v>91</v>
      </c>
      <c r="E181" s="101">
        <v>16</v>
      </c>
      <c r="F181" s="160">
        <f>23700*1.27/712.5</f>
        <v>42.24421052631579</v>
      </c>
      <c r="G181" s="156">
        <f t="shared" si="2"/>
        <v>675.9073684210526</v>
      </c>
      <c r="H181" s="119"/>
      <c r="I181" s="119" t="s">
        <v>173</v>
      </c>
    </row>
    <row r="182" spans="1:7" ht="15" customHeight="1">
      <c r="A182" s="84" t="s">
        <v>19</v>
      </c>
      <c r="B182" s="613" t="s">
        <v>174</v>
      </c>
      <c r="C182" s="613"/>
      <c r="D182" s="84" t="s">
        <v>43</v>
      </c>
      <c r="E182" s="101">
        <v>16</v>
      </c>
      <c r="F182" s="107">
        <f>F50*1.27</f>
        <v>46.534932533733134</v>
      </c>
      <c r="G182" s="156">
        <f>E182*F182</f>
        <v>744.5589205397301</v>
      </c>
    </row>
    <row r="183" spans="1:9" ht="14.25" customHeight="1">
      <c r="A183" s="84" t="s">
        <v>54</v>
      </c>
      <c r="B183" s="613" t="s">
        <v>600</v>
      </c>
      <c r="C183" s="613"/>
      <c r="D183" s="84" t="s">
        <v>43</v>
      </c>
      <c r="E183" s="107"/>
      <c r="F183" s="322"/>
      <c r="G183" s="290">
        <f>E183*F183</f>
        <v>0</v>
      </c>
      <c r="H183" s="243"/>
      <c r="I183" s="325"/>
    </row>
    <row r="184" spans="1:7" ht="14.25" customHeight="1">
      <c r="A184" s="84" t="s">
        <v>22</v>
      </c>
      <c r="B184" s="613" t="s">
        <v>176</v>
      </c>
      <c r="C184" s="613"/>
      <c r="D184" s="84" t="s">
        <v>43</v>
      </c>
      <c r="E184" s="101"/>
      <c r="F184" s="101"/>
      <c r="G184" s="101">
        <f t="shared" si="2"/>
        <v>0</v>
      </c>
    </row>
    <row r="185" spans="1:7" ht="15" customHeight="1">
      <c r="A185" s="84" t="s">
        <v>72</v>
      </c>
      <c r="B185" s="613" t="s">
        <v>209</v>
      </c>
      <c r="C185" s="613"/>
      <c r="D185" s="84" t="s">
        <v>85</v>
      </c>
      <c r="E185" s="101"/>
      <c r="F185" s="101"/>
      <c r="G185" s="101">
        <f t="shared" si="2"/>
        <v>0</v>
      </c>
    </row>
    <row r="186" spans="1:7" ht="15" customHeight="1">
      <c r="A186" s="84"/>
      <c r="B186" s="587" t="s">
        <v>177</v>
      </c>
      <c r="C186" s="588"/>
      <c r="D186" s="84"/>
      <c r="E186" s="84"/>
      <c r="F186" s="84"/>
      <c r="G186" s="85">
        <f>SUM(G176:G185)</f>
        <v>1420.4662889607828</v>
      </c>
    </row>
    <row r="187" ht="13.5" customHeight="1">
      <c r="A187" s="67"/>
    </row>
    <row r="188" ht="14.25">
      <c r="A188" s="76" t="s">
        <v>178</v>
      </c>
    </row>
    <row r="189" ht="15" thickBot="1">
      <c r="A189" s="76"/>
    </row>
    <row r="190" spans="1:7" ht="28.5" customHeight="1">
      <c r="A190" s="96" t="s">
        <v>37</v>
      </c>
      <c r="B190" s="598" t="s">
        <v>38</v>
      </c>
      <c r="C190" s="599"/>
      <c r="D190" s="77" t="s">
        <v>39</v>
      </c>
      <c r="E190" s="78" t="s">
        <v>207</v>
      </c>
      <c r="F190" s="78" t="s">
        <v>58</v>
      </c>
      <c r="G190" s="78" t="s">
        <v>59</v>
      </c>
    </row>
    <row r="191" spans="1:7" ht="15" customHeight="1">
      <c r="A191" s="84" t="s">
        <v>9</v>
      </c>
      <c r="B191" s="613" t="s">
        <v>179</v>
      </c>
      <c r="C191" s="613"/>
      <c r="D191" s="84" t="s">
        <v>180</v>
      </c>
      <c r="E191" s="101"/>
      <c r="F191" s="101"/>
      <c r="G191" s="101">
        <f>E191*F191</f>
        <v>0</v>
      </c>
    </row>
    <row r="192" spans="1:7" ht="15" customHeight="1">
      <c r="A192" s="84" t="s">
        <v>45</v>
      </c>
      <c r="B192" s="613" t="s">
        <v>181</v>
      </c>
      <c r="C192" s="613"/>
      <c r="D192" s="84" t="s">
        <v>180</v>
      </c>
      <c r="E192" s="101"/>
      <c r="F192" s="101"/>
      <c r="G192" s="101">
        <f>E192*F192</f>
        <v>0</v>
      </c>
    </row>
    <row r="193" spans="1:7" ht="15" customHeight="1">
      <c r="A193" s="84" t="s">
        <v>14</v>
      </c>
      <c r="B193" s="613" t="s">
        <v>182</v>
      </c>
      <c r="C193" s="613"/>
      <c r="D193" s="84" t="s">
        <v>180</v>
      </c>
      <c r="E193" s="101"/>
      <c r="F193" s="101"/>
      <c r="G193" s="101">
        <f>E193*F193</f>
        <v>0</v>
      </c>
    </row>
    <row r="194" spans="1:7" ht="15" customHeight="1">
      <c r="A194" s="84"/>
      <c r="B194" s="587" t="s">
        <v>183</v>
      </c>
      <c r="C194" s="588"/>
      <c r="D194" s="84"/>
      <c r="E194" s="84"/>
      <c r="F194" s="84"/>
      <c r="G194" s="85">
        <f>SUM(G191:G193)</f>
        <v>0</v>
      </c>
    </row>
    <row r="195" ht="14.25">
      <c r="A195" s="67"/>
    </row>
    <row r="196" ht="14.25">
      <c r="A196" s="67"/>
    </row>
    <row r="197" ht="14.25">
      <c r="A197" s="67"/>
    </row>
    <row r="198" ht="14.25">
      <c r="A198" s="67"/>
    </row>
    <row r="199" ht="14.25">
      <c r="A199" s="67" t="s">
        <v>184</v>
      </c>
    </row>
    <row r="200" ht="15" thickBot="1">
      <c r="A200" s="67"/>
    </row>
    <row r="201" spans="1:7" ht="28.5" customHeight="1">
      <c r="A201" s="96" t="s">
        <v>37</v>
      </c>
      <c r="B201" s="598" t="s">
        <v>38</v>
      </c>
      <c r="C201" s="599"/>
      <c r="D201" s="77" t="s">
        <v>39</v>
      </c>
      <c r="E201" s="78" t="s">
        <v>210</v>
      </c>
      <c r="F201" s="78" t="s">
        <v>58</v>
      </c>
      <c r="G201" s="78" t="s">
        <v>59</v>
      </c>
    </row>
    <row r="202" spans="1:7" ht="15" customHeight="1">
      <c r="A202" s="84" t="s">
        <v>9</v>
      </c>
      <c r="B202" s="613" t="s">
        <v>185</v>
      </c>
      <c r="C202" s="613"/>
      <c r="D202" s="84" t="s">
        <v>85</v>
      </c>
      <c r="E202" s="101">
        <v>0.5</v>
      </c>
      <c r="F202" s="101">
        <v>32.6</v>
      </c>
      <c r="G202" s="103">
        <f>E202*F202</f>
        <v>16.3</v>
      </c>
    </row>
    <row r="203" spans="1:7" ht="14.25" customHeight="1">
      <c r="A203" s="84" t="s">
        <v>45</v>
      </c>
      <c r="B203" s="613" t="s">
        <v>186</v>
      </c>
      <c r="C203" s="613"/>
      <c r="D203" s="84" t="s">
        <v>85</v>
      </c>
      <c r="E203" s="114"/>
      <c r="F203" s="44">
        <f>(1151.55+210.41+5.7+145.58)*1.2</f>
        <v>1815.888</v>
      </c>
      <c r="G203" s="103">
        <f>F203*E202</f>
        <v>907.944</v>
      </c>
    </row>
    <row r="204" spans="1:7" ht="14.25" customHeight="1">
      <c r="A204" s="84" t="s">
        <v>14</v>
      </c>
      <c r="B204" s="613" t="s">
        <v>187</v>
      </c>
      <c r="C204" s="613"/>
      <c r="D204" s="84" t="s">
        <v>85</v>
      </c>
      <c r="E204" s="114"/>
      <c r="F204" s="114"/>
      <c r="G204" s="114"/>
    </row>
    <row r="205" spans="1:7" ht="14.25">
      <c r="A205" s="84" t="s">
        <v>49</v>
      </c>
      <c r="B205" s="613" t="s">
        <v>188</v>
      </c>
      <c r="C205" s="613"/>
      <c r="D205" s="84" t="s">
        <v>85</v>
      </c>
      <c r="E205" s="114"/>
      <c r="F205" s="114"/>
      <c r="G205" s="114"/>
    </row>
    <row r="206" spans="1:7" ht="15" customHeight="1">
      <c r="A206" s="84" t="s">
        <v>19</v>
      </c>
      <c r="B206" s="613" t="s">
        <v>189</v>
      </c>
      <c r="C206" s="613"/>
      <c r="D206" s="84" t="s">
        <v>85</v>
      </c>
      <c r="E206" s="114"/>
      <c r="F206" s="114"/>
      <c r="G206" s="114"/>
    </row>
    <row r="207" spans="1:10" ht="15" customHeight="1">
      <c r="A207" s="84" t="s">
        <v>54</v>
      </c>
      <c r="B207" s="613" t="s">
        <v>190</v>
      </c>
      <c r="C207" s="613"/>
      <c r="D207" s="84" t="s">
        <v>101</v>
      </c>
      <c r="E207" s="241">
        <f>J207/F207</f>
        <v>18.074825033505</v>
      </c>
      <c r="F207" s="43">
        <v>1.68</v>
      </c>
      <c r="G207" s="240">
        <f>E207*F207</f>
        <v>30.3657060562884</v>
      </c>
      <c r="H207" s="54"/>
      <c r="I207" s="448">
        <f>1288300*0.4/8485.23</f>
        <v>60.7314121125768</v>
      </c>
      <c r="J207" s="448">
        <f>I207*E202</f>
        <v>30.3657060562884</v>
      </c>
    </row>
    <row r="208" spans="1:10" ht="15" customHeight="1">
      <c r="A208" s="84" t="s">
        <v>22</v>
      </c>
      <c r="B208" s="613" t="s">
        <v>191</v>
      </c>
      <c r="C208" s="613"/>
      <c r="D208" s="84" t="s">
        <v>192</v>
      </c>
      <c r="E208" s="446">
        <f>J208/F208</f>
        <v>0.10058302620539868</v>
      </c>
      <c r="F208" s="43">
        <f>987*1.2</f>
        <v>1184.3999999999999</v>
      </c>
      <c r="G208" s="240">
        <f>E208*F208</f>
        <v>119.13053623767418</v>
      </c>
      <c r="H208" s="54"/>
      <c r="I208" s="448">
        <f>2021700/8485.23</f>
        <v>238.26107247534836</v>
      </c>
      <c r="J208" s="448">
        <f>I208*E202</f>
        <v>119.13053623767418</v>
      </c>
    </row>
    <row r="209" spans="1:10" ht="15" customHeight="1">
      <c r="A209" s="84" t="s">
        <v>72</v>
      </c>
      <c r="B209" s="613" t="s">
        <v>193</v>
      </c>
      <c r="C209" s="613"/>
      <c r="D209" s="84" t="s">
        <v>85</v>
      </c>
      <c r="E209" s="447"/>
      <c r="F209" s="241">
        <f>(229000+16300)/8485.23</f>
        <v>28.909057267746427</v>
      </c>
      <c r="G209" s="240">
        <f>F209*E202</f>
        <v>14.454528633873213</v>
      </c>
      <c r="H209" s="54"/>
      <c r="I209" s="54"/>
      <c r="J209" s="54"/>
    </row>
    <row r="210" spans="1:10" ht="14.25" customHeight="1">
      <c r="A210" s="84" t="s">
        <v>26</v>
      </c>
      <c r="B210" s="613" t="s">
        <v>194</v>
      </c>
      <c r="C210" s="613"/>
      <c r="D210" s="84" t="s">
        <v>85</v>
      </c>
      <c r="E210" s="447"/>
      <c r="F210" s="43">
        <v>2693.4</v>
      </c>
      <c r="G210" s="240">
        <f>F210*E202</f>
        <v>1346.7</v>
      </c>
      <c r="H210" s="54"/>
      <c r="I210" s="54"/>
      <c r="J210" s="54"/>
    </row>
    <row r="211" spans="1:10" ht="15" customHeight="1">
      <c r="A211" s="84" t="s">
        <v>31</v>
      </c>
      <c r="B211" s="613" t="s">
        <v>195</v>
      </c>
      <c r="C211" s="613"/>
      <c r="D211" s="84" t="s">
        <v>85</v>
      </c>
      <c r="E211" s="447"/>
      <c r="F211" s="43">
        <v>300.6</v>
      </c>
      <c r="G211" s="240">
        <f>F211*E202</f>
        <v>150.3</v>
      </c>
      <c r="H211" s="54"/>
      <c r="I211" s="54"/>
      <c r="J211" s="54"/>
    </row>
    <row r="212" spans="1:10" ht="15" customHeight="1">
      <c r="A212" s="84" t="s">
        <v>79</v>
      </c>
      <c r="B212" s="613" t="s">
        <v>196</v>
      </c>
      <c r="C212" s="613"/>
      <c r="D212" s="84" t="s">
        <v>85</v>
      </c>
      <c r="E212" s="447"/>
      <c r="F212" s="43">
        <v>1242.8</v>
      </c>
      <c r="G212" s="240">
        <f>F212*E202</f>
        <v>621.4</v>
      </c>
      <c r="H212" s="54"/>
      <c r="I212" s="54"/>
      <c r="J212" s="54"/>
    </row>
    <row r="213" ht="14.25">
      <c r="A213" s="67"/>
    </row>
    <row r="214" ht="14.25">
      <c r="A214" s="67" t="s">
        <v>197</v>
      </c>
    </row>
    <row r="215" ht="15" thickBot="1">
      <c r="A215" s="76"/>
    </row>
    <row r="216" spans="1:7" ht="14.25" customHeight="1">
      <c r="A216" s="623" t="s">
        <v>37</v>
      </c>
      <c r="B216" s="598" t="s">
        <v>38</v>
      </c>
      <c r="C216" s="599"/>
      <c r="D216" s="77" t="s">
        <v>198</v>
      </c>
      <c r="E216" s="598" t="s">
        <v>59</v>
      </c>
      <c r="F216" s="616"/>
      <c r="G216" s="599"/>
    </row>
    <row r="217" spans="1:7" ht="14.25">
      <c r="A217" s="624"/>
      <c r="B217" s="600"/>
      <c r="C217" s="612"/>
      <c r="D217" s="112" t="s">
        <v>199</v>
      </c>
      <c r="E217" s="600"/>
      <c r="F217" s="617"/>
      <c r="G217" s="612"/>
    </row>
    <row r="218" spans="1:7" ht="15" customHeight="1">
      <c r="A218" s="84" t="s">
        <v>9</v>
      </c>
      <c r="B218" s="613" t="s">
        <v>200</v>
      </c>
      <c r="C218" s="613"/>
      <c r="D218" s="84" t="s">
        <v>85</v>
      </c>
      <c r="E218" s="614">
        <f>G44+G63+G67+G68+G102+G123+G135+G148+G162+G170+G186+G194</f>
        <v>11770.21275382066</v>
      </c>
      <c r="F218" s="615"/>
      <c r="G218" s="615"/>
    </row>
    <row r="219" spans="1:7" ht="15" customHeight="1">
      <c r="A219" s="84" t="s">
        <v>45</v>
      </c>
      <c r="B219" s="613" t="s">
        <v>201</v>
      </c>
      <c r="C219" s="613"/>
      <c r="D219" s="84" t="s">
        <v>85</v>
      </c>
      <c r="E219" s="614">
        <f>SUM(G202:G212)</f>
        <v>3206.594770927836</v>
      </c>
      <c r="F219" s="614"/>
      <c r="G219" s="614"/>
    </row>
    <row r="220" spans="1:7" ht="14.25">
      <c r="A220" s="84" t="s">
        <v>14</v>
      </c>
      <c r="B220" s="613" t="s">
        <v>202</v>
      </c>
      <c r="C220" s="613"/>
      <c r="D220" s="84" t="s">
        <v>85</v>
      </c>
      <c r="E220" s="614">
        <f>E218+E219</f>
        <v>14976.807524748496</v>
      </c>
      <c r="F220" s="614"/>
      <c r="G220" s="614"/>
    </row>
    <row r="221" spans="1:7" ht="15" customHeight="1">
      <c r="A221" s="84">
        <v>4</v>
      </c>
      <c r="B221" s="613" t="s">
        <v>203</v>
      </c>
      <c r="C221" s="613"/>
      <c r="D221" s="84" t="s">
        <v>85</v>
      </c>
      <c r="E221" s="611"/>
      <c r="F221" s="611"/>
      <c r="G221" s="611"/>
    </row>
    <row r="222" spans="1:7" ht="15" customHeight="1">
      <c r="A222" s="84" t="s">
        <v>19</v>
      </c>
      <c r="B222" s="613" t="s">
        <v>204</v>
      </c>
      <c r="C222" s="613"/>
      <c r="D222" s="84" t="s">
        <v>85</v>
      </c>
      <c r="E222" s="611">
        <f>E220-E221</f>
        <v>14976.807524748496</v>
      </c>
      <c r="F222" s="611"/>
      <c r="G222" s="611"/>
    </row>
    <row r="223" ht="14.25">
      <c r="A223" s="95"/>
    </row>
    <row r="224" ht="14.25">
      <c r="A224" s="95"/>
    </row>
    <row r="225" spans="2:3" ht="14.25">
      <c r="B225" s="116" t="s">
        <v>63</v>
      </c>
      <c r="C225" s="117"/>
    </row>
    <row r="226" ht="14.25">
      <c r="A226" s="95"/>
    </row>
    <row r="227" ht="14.25">
      <c r="B227" s="116" t="s">
        <v>206</v>
      </c>
    </row>
  </sheetData>
  <sheetProtection/>
  <mergeCells count="164">
    <mergeCell ref="B123:C123"/>
    <mergeCell ref="B135:C135"/>
    <mergeCell ref="B186:C186"/>
    <mergeCell ref="A7:G7"/>
    <mergeCell ref="A8:G8"/>
    <mergeCell ref="A9:G9"/>
    <mergeCell ref="B27:G27"/>
    <mergeCell ref="D24:E24"/>
    <mergeCell ref="F16:G16"/>
    <mergeCell ref="F18:G18"/>
    <mergeCell ref="B71:C71"/>
    <mergeCell ref="B66:C66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22:G222"/>
    <mergeCell ref="B216:C217"/>
    <mergeCell ref="B218:C218"/>
    <mergeCell ref="B219:C219"/>
    <mergeCell ref="B220:C220"/>
    <mergeCell ref="B221:C221"/>
    <mergeCell ref="B222:C222"/>
    <mergeCell ref="E218:G218"/>
    <mergeCell ref="E219:G219"/>
    <mergeCell ref="E220:G220"/>
    <mergeCell ref="B207:C207"/>
    <mergeCell ref="B208:C208"/>
    <mergeCell ref="B209:C209"/>
    <mergeCell ref="E221:G221"/>
    <mergeCell ref="B210:C210"/>
    <mergeCell ref="B211:C211"/>
    <mergeCell ref="B212:C212"/>
    <mergeCell ref="E216:G217"/>
    <mergeCell ref="B194:C194"/>
    <mergeCell ref="B183:C183"/>
    <mergeCell ref="B203:C203"/>
    <mergeCell ref="B204:C204"/>
    <mergeCell ref="B205:C205"/>
    <mergeCell ref="B206:C206"/>
    <mergeCell ref="B191:C191"/>
    <mergeCell ref="B192:C192"/>
    <mergeCell ref="B202:C202"/>
    <mergeCell ref="B178:C178"/>
    <mergeCell ref="B169:C169"/>
    <mergeCell ref="B170:C170"/>
    <mergeCell ref="B174:C174"/>
    <mergeCell ref="B176:C176"/>
    <mergeCell ref="B190:C190"/>
    <mergeCell ref="B201:C201"/>
    <mergeCell ref="B181:C181"/>
    <mergeCell ref="B182:C182"/>
    <mergeCell ref="B179:C179"/>
    <mergeCell ref="B175:C175"/>
    <mergeCell ref="B184:C184"/>
    <mergeCell ref="B185:C185"/>
    <mergeCell ref="B153:C153"/>
    <mergeCell ref="B152:C152"/>
    <mergeCell ref="B144:C144"/>
    <mergeCell ref="B147:C147"/>
    <mergeCell ref="B193:C193"/>
    <mergeCell ref="B162:C162"/>
    <mergeCell ref="B161:C161"/>
    <mergeCell ref="B160:C160"/>
    <mergeCell ref="B177:C177"/>
    <mergeCell ref="B180:C180"/>
    <mergeCell ref="B79:C79"/>
    <mergeCell ref="B80:C80"/>
    <mergeCell ref="B81:C81"/>
    <mergeCell ref="B82:C82"/>
    <mergeCell ref="B95:C95"/>
    <mergeCell ref="B102:C102"/>
    <mergeCell ref="B93:C93"/>
    <mergeCell ref="B94:C94"/>
    <mergeCell ref="B159:C159"/>
    <mergeCell ref="A86:C86"/>
    <mergeCell ref="A87:C87"/>
    <mergeCell ref="B158:C158"/>
    <mergeCell ref="B157:C157"/>
    <mergeCell ref="B154:C154"/>
    <mergeCell ref="B155:C155"/>
    <mergeCell ref="B156:C156"/>
    <mergeCell ref="B100:C100"/>
    <mergeCell ref="B148:C148"/>
    <mergeCell ref="D141:G141"/>
    <mergeCell ref="B90:C90"/>
    <mergeCell ref="B88:C88"/>
    <mergeCell ref="B89:C89"/>
    <mergeCell ref="A91:C91"/>
    <mergeCell ref="A92:C92"/>
    <mergeCell ref="A99:C99"/>
    <mergeCell ref="B110:C110"/>
    <mergeCell ref="B111:C111"/>
    <mergeCell ref="B101:C101"/>
    <mergeCell ref="A47:A48"/>
    <mergeCell ref="D140:G140"/>
    <mergeCell ref="F47:F48"/>
    <mergeCell ref="G47:G48"/>
    <mergeCell ref="B84:C84"/>
    <mergeCell ref="B85:C85"/>
    <mergeCell ref="B74:C74"/>
    <mergeCell ref="B75:C75"/>
    <mergeCell ref="A73:C73"/>
    <mergeCell ref="A72:C72"/>
    <mergeCell ref="A216:A217"/>
    <mergeCell ref="B129:C129"/>
    <mergeCell ref="B130:C130"/>
    <mergeCell ref="B131:C131"/>
    <mergeCell ref="B132:C132"/>
    <mergeCell ref="B133:C133"/>
    <mergeCell ref="B146:C146"/>
    <mergeCell ref="A166:A167"/>
    <mergeCell ref="B166:C167"/>
    <mergeCell ref="B168:C168"/>
    <mergeCell ref="A33:A34"/>
    <mergeCell ref="B44:C44"/>
    <mergeCell ref="B67:C67"/>
    <mergeCell ref="B68:C68"/>
    <mergeCell ref="A40:A43"/>
    <mergeCell ref="B36:C36"/>
    <mergeCell ref="B37:C37"/>
    <mergeCell ref="B38:C38"/>
    <mergeCell ref="B39:C39"/>
    <mergeCell ref="B40:C40"/>
    <mergeCell ref="B76:C76"/>
    <mergeCell ref="B77:C77"/>
    <mergeCell ref="B83:C83"/>
    <mergeCell ref="B115:C115"/>
    <mergeCell ref="B107:C107"/>
    <mergeCell ref="B108:C108"/>
    <mergeCell ref="B109:C109"/>
    <mergeCell ref="B106:C106"/>
    <mergeCell ref="B112:C112"/>
    <mergeCell ref="B78:C78"/>
    <mergeCell ref="B119:C119"/>
    <mergeCell ref="B120:C120"/>
    <mergeCell ref="B121:C121"/>
    <mergeCell ref="B122:C122"/>
    <mergeCell ref="B113:C113"/>
    <mergeCell ref="B114:C114"/>
    <mergeCell ref="B117:C117"/>
    <mergeCell ref="B118:C118"/>
    <mergeCell ref="B116:C116"/>
    <mergeCell ref="B142:C142"/>
    <mergeCell ref="B143:C143"/>
    <mergeCell ref="B145:C145"/>
    <mergeCell ref="B128:C128"/>
    <mergeCell ref="B139:C139"/>
    <mergeCell ref="B140:C140"/>
    <mergeCell ref="B141:C141"/>
    <mergeCell ref="B134:C134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33"/>
  <sheetViews>
    <sheetView zoomScalePageLayoutView="0" workbookViewId="0" topLeftCell="A8">
      <selection activeCell="F19" sqref="F19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416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417</v>
      </c>
      <c r="D16" s="668" t="s">
        <v>17</v>
      </c>
      <c r="E16" s="669"/>
      <c r="F16" s="668" t="s">
        <v>218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48</v>
      </c>
      <c r="D18" s="668" t="s">
        <v>21</v>
      </c>
      <c r="E18" s="669"/>
      <c r="F18" s="668" t="s">
        <v>326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427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389</v>
      </c>
      <c r="D22" s="251" t="s">
        <v>29</v>
      </c>
      <c r="E22" s="252" t="s">
        <v>390</v>
      </c>
      <c r="F22" s="676" t="s">
        <v>30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428</v>
      </c>
      <c r="D24" s="672"/>
      <c r="E24" s="672"/>
      <c r="F24" s="672"/>
      <c r="G24" s="673"/>
    </row>
    <row r="25" spans="1:7" ht="14.25">
      <c r="A25" s="253"/>
      <c r="B25" s="670"/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7" ht="15" customHeight="1">
      <c r="A34" s="260" t="s">
        <v>9</v>
      </c>
      <c r="B34" s="633" t="s">
        <v>566</v>
      </c>
      <c r="C34" s="633"/>
      <c r="D34" s="260" t="s">
        <v>43</v>
      </c>
      <c r="E34" s="261" t="s">
        <v>567</v>
      </c>
      <c r="F34" s="262">
        <f>(F52+F53)/2/40</f>
        <v>0.8433283358320839</v>
      </c>
      <c r="G34" s="263">
        <f>10*F34*2</f>
        <v>16.866566716641678</v>
      </c>
    </row>
    <row r="35" spans="1:7" ht="15" customHeight="1">
      <c r="A35" s="260" t="s">
        <v>45</v>
      </c>
      <c r="B35" s="633" t="s">
        <v>568</v>
      </c>
      <c r="C35" s="633"/>
      <c r="D35" s="260" t="s">
        <v>43</v>
      </c>
      <c r="E35" s="261" t="s">
        <v>47</v>
      </c>
      <c r="F35" s="262">
        <f>(F52+F53)/2/40</f>
        <v>0.8433283358320839</v>
      </c>
      <c r="G35" s="263">
        <f>8*F35*2</f>
        <v>13.493253373313342</v>
      </c>
    </row>
    <row r="36" spans="1:7" ht="15" customHeight="1">
      <c r="A36" s="260" t="s">
        <v>14</v>
      </c>
      <c r="B36" s="633" t="s">
        <v>429</v>
      </c>
      <c r="C36" s="633"/>
      <c r="D36" s="260" t="s">
        <v>43</v>
      </c>
      <c r="E36" s="261" t="s">
        <v>242</v>
      </c>
      <c r="F36" s="262">
        <f>F53/40</f>
        <v>0.697151424287856</v>
      </c>
      <c r="G36" s="263">
        <f>E36*F36</f>
        <v>2.091454272863568</v>
      </c>
    </row>
    <row r="37" spans="1:7" ht="15" customHeight="1">
      <c r="A37" s="260" t="s">
        <v>49</v>
      </c>
      <c r="B37" s="633" t="s">
        <v>430</v>
      </c>
      <c r="C37" s="633"/>
      <c r="D37" s="260" t="s">
        <v>43</v>
      </c>
      <c r="E37" s="261" t="s">
        <v>242</v>
      </c>
      <c r="F37" s="262">
        <f>F53/40</f>
        <v>0.697151424287856</v>
      </c>
      <c r="G37" s="263">
        <f>E37*F37</f>
        <v>2.091454272863568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>E38*F38</f>
        <v>0</v>
      </c>
    </row>
    <row r="39" spans="1:7" ht="14.25" customHeight="1">
      <c r="A39" s="639"/>
      <c r="B39" s="664" t="s">
        <v>419</v>
      </c>
      <c r="C39" s="665"/>
      <c r="D39" s="264"/>
      <c r="E39" s="269"/>
      <c r="F39" s="266"/>
      <c r="G39" s="263">
        <f>E39*F39/21</f>
        <v>0</v>
      </c>
    </row>
    <row r="40" spans="1:7" ht="14.25" customHeight="1">
      <c r="A40" s="639"/>
      <c r="B40" s="267" t="s">
        <v>420</v>
      </c>
      <c r="C40" s="268"/>
      <c r="D40" s="264"/>
      <c r="E40" s="269"/>
      <c r="F40" s="266"/>
      <c r="G40" s="263"/>
    </row>
    <row r="41" spans="1:7" ht="15.75" customHeight="1">
      <c r="A41" s="639"/>
      <c r="B41" s="664" t="s">
        <v>391</v>
      </c>
      <c r="C41" s="665"/>
      <c r="D41" s="264"/>
      <c r="E41" s="269"/>
      <c r="F41" s="266"/>
      <c r="G41" s="263"/>
    </row>
    <row r="42" spans="1:7" ht="14.25">
      <c r="A42" s="639"/>
      <c r="B42" s="270"/>
      <c r="C42" s="271"/>
      <c r="D42" s="264"/>
      <c r="E42" s="272"/>
      <c r="F42" s="266"/>
      <c r="G42" s="273"/>
    </row>
    <row r="43" spans="1:7" ht="14.25">
      <c r="A43" s="260" t="s">
        <v>54</v>
      </c>
      <c r="B43" s="634" t="s">
        <v>55</v>
      </c>
      <c r="C43" s="634"/>
      <c r="D43" s="260"/>
      <c r="E43" s="260"/>
      <c r="F43" s="260"/>
      <c r="G43" s="263">
        <f>SUM(G34:G42)</f>
        <v>34.54272863568215</v>
      </c>
    </row>
    <row r="44" ht="14.25">
      <c r="A44" s="254"/>
    </row>
    <row r="45" ht="14.25">
      <c r="A45" s="254"/>
    </row>
    <row r="46" ht="14.25">
      <c r="A46" s="254"/>
    </row>
    <row r="47" ht="14.25">
      <c r="A47" s="254"/>
    </row>
    <row r="48" ht="15" thickBot="1">
      <c r="A48" s="254" t="s">
        <v>56</v>
      </c>
    </row>
    <row r="49" spans="1:7" ht="27.75" customHeight="1" thickBot="1">
      <c r="A49" s="637" t="s">
        <v>37</v>
      </c>
      <c r="B49" s="652" t="s">
        <v>57</v>
      </c>
      <c r="C49" s="666"/>
      <c r="D49" s="642" t="s">
        <v>39</v>
      </c>
      <c r="E49" s="642" t="s">
        <v>207</v>
      </c>
      <c r="F49" s="637" t="s">
        <v>58</v>
      </c>
      <c r="G49" s="643" t="s">
        <v>59</v>
      </c>
    </row>
    <row r="50" spans="1:7" ht="15" customHeight="1" thickBot="1">
      <c r="A50" s="638"/>
      <c r="B50" s="274" t="s">
        <v>60</v>
      </c>
      <c r="C50" s="275" t="s">
        <v>61</v>
      </c>
      <c r="D50" s="644"/>
      <c r="E50" s="644"/>
      <c r="F50" s="638"/>
      <c r="G50" s="645"/>
    </row>
    <row r="51" spans="1:7" ht="15" customHeight="1">
      <c r="A51" s="260">
        <v>1</v>
      </c>
      <c r="B51" s="276" t="s">
        <v>392</v>
      </c>
      <c r="C51" s="276" t="s">
        <v>258</v>
      </c>
      <c r="D51" s="260" t="s">
        <v>43</v>
      </c>
      <c r="E51" s="261" t="s">
        <v>353</v>
      </c>
      <c r="F51" s="86">
        <f>6600*12/2001</f>
        <v>39.58020989505248</v>
      </c>
      <c r="G51" s="263">
        <f>E51*F51</f>
        <v>79.16041979010495</v>
      </c>
    </row>
    <row r="52" spans="1:7" ht="15" customHeight="1">
      <c r="A52" s="260">
        <v>2</v>
      </c>
      <c r="B52" s="276" t="s">
        <v>63</v>
      </c>
      <c r="C52" s="276" t="s">
        <v>258</v>
      </c>
      <c r="D52" s="260" t="s">
        <v>43</v>
      </c>
      <c r="E52" s="261" t="s">
        <v>288</v>
      </c>
      <c r="F52" s="86">
        <f>6600*12/2001</f>
        <v>39.58020989505248</v>
      </c>
      <c r="G52" s="263">
        <f>E52*F52</f>
        <v>395.80209895052474</v>
      </c>
    </row>
    <row r="53" spans="1:7" ht="15" customHeight="1">
      <c r="A53" s="260">
        <v>3</v>
      </c>
      <c r="B53" s="276" t="s">
        <v>309</v>
      </c>
      <c r="C53" s="276" t="s">
        <v>421</v>
      </c>
      <c r="D53" s="260" t="s">
        <v>43</v>
      </c>
      <c r="E53" s="261" t="s">
        <v>422</v>
      </c>
      <c r="F53" s="262">
        <f>4650*12/2001</f>
        <v>27.886056971514243</v>
      </c>
      <c r="G53" s="263">
        <f>E53*F53</f>
        <v>697.1514242878561</v>
      </c>
    </row>
    <row r="54" spans="1:7" ht="15.75" customHeight="1">
      <c r="A54" s="260">
        <v>4</v>
      </c>
      <c r="B54" s="276" t="s">
        <v>393</v>
      </c>
      <c r="C54" s="277" t="s">
        <v>423</v>
      </c>
      <c r="D54" s="260" t="s">
        <v>43</v>
      </c>
      <c r="E54" s="261" t="s">
        <v>288</v>
      </c>
      <c r="F54" s="262">
        <f>4230*12/2001</f>
        <v>25.367316341829085</v>
      </c>
      <c r="G54" s="263">
        <f aca="true" t="shared" si="0" ref="G54:G59">E54*F54</f>
        <v>253.67316341829084</v>
      </c>
    </row>
    <row r="55" spans="1:7" ht="15.75" customHeight="1">
      <c r="A55" s="260">
        <v>5</v>
      </c>
      <c r="B55" s="276" t="s">
        <v>70</v>
      </c>
      <c r="C55" s="277" t="s">
        <v>424</v>
      </c>
      <c r="D55" s="260" t="s">
        <v>43</v>
      </c>
      <c r="E55" s="261" t="s">
        <v>422</v>
      </c>
      <c r="F55" s="262">
        <f>4650*12/2001</f>
        <v>27.886056971514243</v>
      </c>
      <c r="G55" s="263">
        <f t="shared" si="0"/>
        <v>697.1514242878561</v>
      </c>
    </row>
    <row r="56" spans="1:7" ht="15" customHeight="1">
      <c r="A56" s="260">
        <v>6</v>
      </c>
      <c r="B56" s="276" t="s">
        <v>73</v>
      </c>
      <c r="C56" s="277" t="s">
        <v>347</v>
      </c>
      <c r="D56" s="260" t="s">
        <v>43</v>
      </c>
      <c r="E56" s="261" t="s">
        <v>348</v>
      </c>
      <c r="F56" s="262">
        <f>4220*12/2001</f>
        <v>25.307346326836583</v>
      </c>
      <c r="G56" s="263">
        <f t="shared" si="0"/>
        <v>126.53673163418291</v>
      </c>
    </row>
    <row r="57" spans="1:9" ht="15" customHeight="1">
      <c r="A57" s="260">
        <v>7</v>
      </c>
      <c r="B57" s="276" t="s">
        <v>80</v>
      </c>
      <c r="C57" s="277" t="s">
        <v>395</v>
      </c>
      <c r="D57" s="260" t="s">
        <v>43</v>
      </c>
      <c r="E57" s="261" t="s">
        <v>353</v>
      </c>
      <c r="F57" s="262">
        <f>2890*12/2001</f>
        <v>17.331334332833585</v>
      </c>
      <c r="G57" s="263">
        <f t="shared" si="0"/>
        <v>34.66266866566717</v>
      </c>
      <c r="I57" s="325" t="s">
        <v>450</v>
      </c>
    </row>
    <row r="58" spans="1:9" ht="15" customHeight="1">
      <c r="A58" s="260">
        <v>8</v>
      </c>
      <c r="B58" s="276" t="s">
        <v>425</v>
      </c>
      <c r="C58" s="277" t="s">
        <v>395</v>
      </c>
      <c r="D58" s="260" t="s">
        <v>43</v>
      </c>
      <c r="E58" s="261" t="s">
        <v>312</v>
      </c>
      <c r="F58" s="315">
        <f>3894*12/2001</f>
        <v>23.35232383808096</v>
      </c>
      <c r="G58" s="316">
        <f t="shared" si="0"/>
        <v>280.2278860569715</v>
      </c>
      <c r="H58" s="317"/>
      <c r="I58" s="318" t="s">
        <v>431</v>
      </c>
    </row>
    <row r="59" spans="1:9" ht="15" customHeight="1">
      <c r="A59" s="260">
        <v>9</v>
      </c>
      <c r="B59" s="276" t="s">
        <v>263</v>
      </c>
      <c r="C59" s="277" t="s">
        <v>395</v>
      </c>
      <c r="D59" s="260" t="s">
        <v>43</v>
      </c>
      <c r="E59" s="261" t="s">
        <v>288</v>
      </c>
      <c r="F59" s="315">
        <f>3061*12/2001</f>
        <v>18.356821589205396</v>
      </c>
      <c r="G59" s="316">
        <f t="shared" si="0"/>
        <v>183.56821589205396</v>
      </c>
      <c r="H59" s="317"/>
      <c r="I59" s="234" t="s">
        <v>411</v>
      </c>
    </row>
    <row r="60" spans="1:7" ht="15" customHeight="1">
      <c r="A60" s="260"/>
      <c r="B60" s="276" t="s">
        <v>82</v>
      </c>
      <c r="C60" s="276"/>
      <c r="D60" s="260"/>
      <c r="E60" s="261"/>
      <c r="F60" s="260"/>
      <c r="G60" s="263">
        <f>SUM(G51:G59)</f>
        <v>2747.9340329835086</v>
      </c>
    </row>
    <row r="61" ht="15" customHeight="1">
      <c r="A61" s="278"/>
    </row>
    <row r="62" ht="15" thickBot="1">
      <c r="A62" s="254" t="s">
        <v>83</v>
      </c>
    </row>
    <row r="63" spans="1:7" ht="28.5" customHeight="1" thickBot="1">
      <c r="A63" s="279" t="s">
        <v>37</v>
      </c>
      <c r="B63" s="652" t="s">
        <v>38</v>
      </c>
      <c r="C63" s="653"/>
      <c r="D63" s="280" t="s">
        <v>39</v>
      </c>
      <c r="E63" s="280" t="s">
        <v>207</v>
      </c>
      <c r="F63" s="280" t="s">
        <v>58</v>
      </c>
      <c r="G63" s="280" t="s">
        <v>59</v>
      </c>
    </row>
    <row r="64" spans="1:8" ht="15" customHeight="1">
      <c r="A64" s="272" t="s">
        <v>9</v>
      </c>
      <c r="B64" s="634" t="s">
        <v>84</v>
      </c>
      <c r="C64" s="634"/>
      <c r="D64" s="272" t="s">
        <v>85</v>
      </c>
      <c r="E64" s="259"/>
      <c r="F64" s="259"/>
      <c r="G64" s="281">
        <f>(G43+G60)*0.23</f>
        <v>639.9696551724139</v>
      </c>
      <c r="H64" s="282"/>
    </row>
    <row r="65" spans="1:7" ht="15" customHeight="1">
      <c r="A65" s="260" t="s">
        <v>45</v>
      </c>
      <c r="B65" s="633" t="s">
        <v>539</v>
      </c>
      <c r="C65" s="633"/>
      <c r="D65" s="260" t="s">
        <v>85</v>
      </c>
      <c r="E65" s="283"/>
      <c r="F65" s="283"/>
      <c r="G65" s="263">
        <f>(G43+G60)*0.04</f>
        <v>111.29907046476762</v>
      </c>
    </row>
    <row r="66" ht="18" customHeight="1">
      <c r="A66" s="278"/>
    </row>
    <row r="67" ht="15" thickBot="1">
      <c r="A67" s="254" t="s">
        <v>87</v>
      </c>
    </row>
    <row r="68" spans="1:7" ht="27" customHeight="1" thickBot="1">
      <c r="A68" s="256" t="s">
        <v>37</v>
      </c>
      <c r="B68" s="642" t="s">
        <v>38</v>
      </c>
      <c r="C68" s="643"/>
      <c r="D68" s="255" t="s">
        <v>39</v>
      </c>
      <c r="E68" s="284" t="s">
        <v>207</v>
      </c>
      <c r="F68" s="256" t="s">
        <v>58</v>
      </c>
      <c r="G68" s="256" t="s">
        <v>59</v>
      </c>
    </row>
    <row r="69" spans="1:7" ht="15" customHeight="1">
      <c r="A69" s="650"/>
      <c r="B69" s="650"/>
      <c r="C69" s="650"/>
      <c r="D69" s="285"/>
      <c r="E69" s="285"/>
      <c r="F69" s="286"/>
      <c r="G69" s="286"/>
    </row>
    <row r="70" spans="1:7" ht="14.25">
      <c r="A70" s="649" t="s">
        <v>88</v>
      </c>
      <c r="B70" s="649"/>
      <c r="C70" s="649"/>
      <c r="D70" s="264"/>
      <c r="E70" s="264"/>
      <c r="F70" s="266"/>
      <c r="G70" s="266"/>
    </row>
    <row r="71" spans="1:7" ht="15" customHeight="1">
      <c r="A71" s="288" t="s">
        <v>9</v>
      </c>
      <c r="B71" s="633" t="s">
        <v>313</v>
      </c>
      <c r="C71" s="633"/>
      <c r="D71" s="260"/>
      <c r="E71" s="260"/>
      <c r="F71" s="260"/>
      <c r="G71" s="260"/>
    </row>
    <row r="72" spans="1:7" ht="15" customHeight="1">
      <c r="A72" s="288" t="s">
        <v>45</v>
      </c>
      <c r="B72" s="633" t="s">
        <v>90</v>
      </c>
      <c r="C72" s="633"/>
      <c r="D72" s="260" t="s">
        <v>91</v>
      </c>
      <c r="E72" s="260"/>
      <c r="F72" s="260"/>
      <c r="G72" s="263">
        <f>E72*F72</f>
        <v>0</v>
      </c>
    </row>
    <row r="73" spans="1:7" ht="15" customHeight="1">
      <c r="A73" s="288" t="s">
        <v>14</v>
      </c>
      <c r="B73" s="633" t="s">
        <v>92</v>
      </c>
      <c r="C73" s="633"/>
      <c r="D73" s="260" t="s">
        <v>91</v>
      </c>
      <c r="E73" s="260"/>
      <c r="F73" s="260"/>
      <c r="G73" s="263"/>
    </row>
    <row r="74" spans="1:7" ht="15" customHeight="1">
      <c r="A74" s="288" t="s">
        <v>49</v>
      </c>
      <c r="B74" s="633" t="s">
        <v>93</v>
      </c>
      <c r="C74" s="633"/>
      <c r="D74" s="260" t="s">
        <v>91</v>
      </c>
      <c r="E74" s="260"/>
      <c r="F74" s="260"/>
      <c r="G74" s="263">
        <f>E74*F74</f>
        <v>0</v>
      </c>
    </row>
    <row r="75" spans="1:7" ht="15" customHeight="1">
      <c r="A75" s="288" t="s">
        <v>19</v>
      </c>
      <c r="B75" s="633" t="s">
        <v>396</v>
      </c>
      <c r="C75" s="633"/>
      <c r="D75" s="260"/>
      <c r="E75" s="260"/>
      <c r="F75" s="260"/>
      <c r="G75" s="260"/>
    </row>
    <row r="76" spans="1:7" ht="15" customHeight="1">
      <c r="A76" s="288"/>
      <c r="B76" s="636" t="s">
        <v>95</v>
      </c>
      <c r="C76" s="636"/>
      <c r="D76" s="289" t="s">
        <v>96</v>
      </c>
      <c r="E76" s="289"/>
      <c r="F76" s="289"/>
      <c r="G76" s="289"/>
    </row>
    <row r="77" spans="1:7" ht="15" customHeight="1">
      <c r="A77" s="288"/>
      <c r="B77" s="636" t="s">
        <v>97</v>
      </c>
      <c r="C77" s="636"/>
      <c r="D77" s="289" t="s">
        <v>91</v>
      </c>
      <c r="E77" s="289"/>
      <c r="F77" s="289"/>
      <c r="G77" s="289"/>
    </row>
    <row r="78" spans="1:7" ht="15" customHeight="1">
      <c r="A78" s="288"/>
      <c r="B78" s="636" t="s">
        <v>98</v>
      </c>
      <c r="C78" s="636"/>
      <c r="D78" s="289" t="s">
        <v>85</v>
      </c>
      <c r="E78" s="289"/>
      <c r="F78" s="289"/>
      <c r="G78" s="290">
        <f>E76*E77*F78</f>
        <v>0</v>
      </c>
    </row>
    <row r="79" spans="1:9" ht="15" customHeight="1">
      <c r="A79" s="288" t="s">
        <v>54</v>
      </c>
      <c r="B79" s="633" t="s">
        <v>397</v>
      </c>
      <c r="C79" s="633"/>
      <c r="D79" s="289"/>
      <c r="E79" s="289"/>
      <c r="F79" s="289"/>
      <c r="G79" s="289"/>
      <c r="I79" s="291"/>
    </row>
    <row r="80" spans="1:9" ht="15" customHeight="1">
      <c r="A80" s="288"/>
      <c r="B80" s="636" t="s">
        <v>97</v>
      </c>
      <c r="C80" s="636"/>
      <c r="D80" s="289" t="s">
        <v>91</v>
      </c>
      <c r="E80" s="289"/>
      <c r="F80" s="289"/>
      <c r="G80" s="289"/>
      <c r="I80" s="291"/>
    </row>
    <row r="81" spans="1:9" ht="15" customHeight="1">
      <c r="A81" s="288"/>
      <c r="B81" s="636" t="s">
        <v>100</v>
      </c>
      <c r="C81" s="636"/>
      <c r="D81" s="289" t="s">
        <v>101</v>
      </c>
      <c r="E81" s="292"/>
      <c r="F81" s="289"/>
      <c r="G81" s="290">
        <f>E80*E81*F81</f>
        <v>0</v>
      </c>
      <c r="I81" s="291"/>
    </row>
    <row r="82" spans="1:7" ht="15" customHeight="1">
      <c r="A82" s="288"/>
      <c r="B82" s="636" t="s">
        <v>102</v>
      </c>
      <c r="C82" s="636"/>
      <c r="D82" s="289" t="s">
        <v>91</v>
      </c>
      <c r="E82" s="289"/>
      <c r="F82" s="293"/>
      <c r="G82" s="290">
        <f>E80*F82</f>
        <v>0</v>
      </c>
    </row>
    <row r="83" spans="1:7" ht="14.25" customHeight="1">
      <c r="A83" s="649"/>
      <c r="B83" s="649"/>
      <c r="C83" s="649"/>
      <c r="D83" s="294"/>
      <c r="E83" s="294"/>
      <c r="F83" s="294"/>
      <c r="G83" s="294"/>
    </row>
    <row r="84" spans="1:7" ht="14.25">
      <c r="A84" s="649" t="s">
        <v>398</v>
      </c>
      <c r="B84" s="649"/>
      <c r="C84" s="649"/>
      <c r="D84" s="294"/>
      <c r="E84" s="294"/>
      <c r="F84" s="294"/>
      <c r="G84" s="294"/>
    </row>
    <row r="85" spans="1:7" ht="15" customHeight="1">
      <c r="A85" s="288"/>
      <c r="B85" s="636" t="s">
        <v>399</v>
      </c>
      <c r="C85" s="636"/>
      <c r="D85" s="289" t="s">
        <v>91</v>
      </c>
      <c r="E85" s="289">
        <v>12</v>
      </c>
      <c r="F85" s="289"/>
      <c r="G85" s="289"/>
    </row>
    <row r="86" spans="1:7" ht="15" customHeight="1">
      <c r="A86" s="288"/>
      <c r="B86" s="636" t="s">
        <v>104</v>
      </c>
      <c r="C86" s="636"/>
      <c r="D86" s="289" t="s">
        <v>101</v>
      </c>
      <c r="E86" s="289">
        <v>1.35</v>
      </c>
      <c r="F86" s="289">
        <v>1.68</v>
      </c>
      <c r="G86" s="290">
        <f>E85*E86*F86</f>
        <v>27.216000000000005</v>
      </c>
    </row>
    <row r="87" spans="1:7" ht="14.25" customHeight="1">
      <c r="A87" s="288"/>
      <c r="B87" s="636" t="s">
        <v>105</v>
      </c>
      <c r="C87" s="636"/>
      <c r="D87" s="289" t="s">
        <v>85</v>
      </c>
      <c r="E87" s="289"/>
      <c r="F87" s="289">
        <v>11.8</v>
      </c>
      <c r="G87" s="290">
        <f>E85*F87</f>
        <v>141.60000000000002</v>
      </c>
    </row>
    <row r="88" spans="1:7" ht="15" customHeight="1">
      <c r="A88" s="649"/>
      <c r="B88" s="649"/>
      <c r="C88" s="649"/>
      <c r="D88" s="294"/>
      <c r="E88" s="294"/>
      <c r="F88" s="294"/>
      <c r="G88" s="295"/>
    </row>
    <row r="89" spans="1:7" ht="14.25">
      <c r="A89" s="649" t="s">
        <v>106</v>
      </c>
      <c r="B89" s="649"/>
      <c r="C89" s="649"/>
      <c r="D89" s="294"/>
      <c r="E89" s="294"/>
      <c r="F89" s="294"/>
      <c r="G89" s="295"/>
    </row>
    <row r="90" spans="1:7" ht="15" customHeight="1">
      <c r="A90" s="288"/>
      <c r="B90" s="636" t="s">
        <v>97</v>
      </c>
      <c r="C90" s="636"/>
      <c r="D90" s="289" t="s">
        <v>91</v>
      </c>
      <c r="E90" s="289">
        <v>5</v>
      </c>
      <c r="F90" s="289"/>
      <c r="G90" s="290"/>
    </row>
    <row r="91" spans="1:7" ht="15" customHeight="1">
      <c r="A91" s="288"/>
      <c r="B91" s="636" t="s">
        <v>104</v>
      </c>
      <c r="C91" s="636"/>
      <c r="D91" s="289" t="s">
        <v>101</v>
      </c>
      <c r="E91" s="289">
        <v>0.5</v>
      </c>
      <c r="F91" s="289">
        <v>1.68</v>
      </c>
      <c r="G91" s="290">
        <f>E90*E91*F91</f>
        <v>4.2</v>
      </c>
    </row>
    <row r="92" spans="1:7" ht="14.25" customHeight="1">
      <c r="A92" s="288"/>
      <c r="B92" s="636" t="s">
        <v>107</v>
      </c>
      <c r="C92" s="636"/>
      <c r="D92" s="289" t="s">
        <v>85</v>
      </c>
      <c r="E92" s="289"/>
      <c r="F92" s="289">
        <v>0.6</v>
      </c>
      <c r="G92" s="289">
        <f>E90*F92</f>
        <v>3</v>
      </c>
    </row>
    <row r="94" spans="1:7" ht="15.75">
      <c r="A94" s="649" t="s">
        <v>208</v>
      </c>
      <c r="B94" s="649"/>
      <c r="C94" s="649"/>
      <c r="D94" s="264"/>
      <c r="E94" s="264"/>
      <c r="F94" s="266"/>
      <c r="G94" s="266"/>
    </row>
    <row r="95" spans="1:7" ht="18.75" customHeight="1">
      <c r="A95" s="276"/>
      <c r="B95" s="651"/>
      <c r="C95" s="651"/>
      <c r="D95" s="260"/>
      <c r="E95" s="260"/>
      <c r="F95" s="260"/>
      <c r="G95" s="260"/>
    </row>
    <row r="96" spans="1:7" ht="18.75" customHeight="1">
      <c r="A96" s="276"/>
      <c r="B96" s="631"/>
      <c r="C96" s="632"/>
      <c r="D96" s="260"/>
      <c r="E96" s="260"/>
      <c r="F96" s="260"/>
      <c r="G96" s="260"/>
    </row>
    <row r="97" spans="1:7" ht="14.25">
      <c r="A97" s="276"/>
      <c r="B97" s="631"/>
      <c r="C97" s="632"/>
      <c r="D97" s="260"/>
      <c r="E97" s="261"/>
      <c r="F97" s="260"/>
      <c r="G97" s="263">
        <f>SUM(G95:G96)</f>
        <v>0</v>
      </c>
    </row>
    <row r="98" spans="1:7" ht="14.25" customHeight="1">
      <c r="A98" s="260"/>
      <c r="B98" s="631" t="s">
        <v>108</v>
      </c>
      <c r="C98" s="632"/>
      <c r="D98" s="260"/>
      <c r="E98" s="261"/>
      <c r="F98" s="260"/>
      <c r="G98" s="263">
        <f>SUM(G72:G97)</f>
        <v>176.01600000000002</v>
      </c>
    </row>
    <row r="99" spans="1:7" ht="12.75">
      <c r="A99" s="296"/>
      <c r="B99" s="296"/>
      <c r="C99" s="296"/>
      <c r="D99" s="296"/>
      <c r="E99" s="296"/>
      <c r="F99" s="296"/>
      <c r="G99" s="296"/>
    </row>
    <row r="100" ht="15" thickBot="1">
      <c r="A100" s="254" t="s">
        <v>110</v>
      </c>
    </row>
    <row r="101" spans="1:7" ht="26.25" customHeight="1" thickBot="1">
      <c r="A101" s="279" t="s">
        <v>37</v>
      </c>
      <c r="B101" s="297" t="s">
        <v>38</v>
      </c>
      <c r="C101" s="298"/>
      <c r="D101" s="299" t="s">
        <v>39</v>
      </c>
      <c r="E101" s="280" t="s">
        <v>207</v>
      </c>
      <c r="F101" s="280" t="s">
        <v>58</v>
      </c>
      <c r="G101" s="280" t="s">
        <v>59</v>
      </c>
    </row>
    <row r="102" spans="1:7" ht="15" customHeight="1">
      <c r="A102" s="272" t="s">
        <v>9</v>
      </c>
      <c r="B102" s="634" t="s">
        <v>111</v>
      </c>
      <c r="C102" s="634"/>
      <c r="D102" s="300" t="s">
        <v>91</v>
      </c>
      <c r="E102" s="300"/>
      <c r="F102" s="300"/>
      <c r="G102" s="272">
        <f>E102*F102</f>
        <v>0</v>
      </c>
    </row>
    <row r="103" spans="1:7" ht="15" customHeight="1">
      <c r="A103" s="260" t="s">
        <v>45</v>
      </c>
      <c r="B103" s="633" t="s">
        <v>112</v>
      </c>
      <c r="C103" s="633"/>
      <c r="D103" s="289" t="s">
        <v>91</v>
      </c>
      <c r="E103" s="289"/>
      <c r="F103" s="289"/>
      <c r="G103" s="260"/>
    </row>
    <row r="104" spans="1:7" ht="15" customHeight="1">
      <c r="A104" s="260" t="s">
        <v>14</v>
      </c>
      <c r="B104" s="633" t="s">
        <v>113</v>
      </c>
      <c r="C104" s="633"/>
      <c r="D104" s="289" t="s">
        <v>91</v>
      </c>
      <c r="E104" s="289"/>
      <c r="F104" s="289"/>
      <c r="G104" s="260"/>
    </row>
    <row r="105" spans="1:7" ht="15" customHeight="1">
      <c r="A105" s="260" t="s">
        <v>49</v>
      </c>
      <c r="B105" s="633" t="s">
        <v>94</v>
      </c>
      <c r="C105" s="633"/>
      <c r="D105" s="289"/>
      <c r="E105" s="289"/>
      <c r="F105" s="289"/>
      <c r="G105" s="289"/>
    </row>
    <row r="106" spans="1:7" ht="15" customHeight="1">
      <c r="A106" s="260"/>
      <c r="B106" s="636" t="s">
        <v>95</v>
      </c>
      <c r="C106" s="636"/>
      <c r="D106" s="289" t="s">
        <v>96</v>
      </c>
      <c r="E106" s="289">
        <v>1</v>
      </c>
      <c r="F106" s="289"/>
      <c r="G106" s="289"/>
    </row>
    <row r="107" spans="1:7" ht="15" customHeight="1">
      <c r="A107" s="260"/>
      <c r="B107" s="636" t="s">
        <v>97</v>
      </c>
      <c r="C107" s="636"/>
      <c r="D107" s="289" t="s">
        <v>91</v>
      </c>
      <c r="E107" s="289">
        <v>10</v>
      </c>
      <c r="F107" s="289"/>
      <c r="G107" s="289"/>
    </row>
    <row r="108" spans="1:7" ht="15" customHeight="1">
      <c r="A108" s="260"/>
      <c r="B108" s="636" t="s">
        <v>114</v>
      </c>
      <c r="C108" s="636"/>
      <c r="D108" s="289" t="s">
        <v>85</v>
      </c>
      <c r="E108" s="289"/>
      <c r="F108" s="289">
        <v>16.04</v>
      </c>
      <c r="G108" s="290">
        <f>E106*E107*F108</f>
        <v>160.39999999999998</v>
      </c>
    </row>
    <row r="109" spans="1:7" ht="15" customHeight="1">
      <c r="A109" s="260" t="s">
        <v>19</v>
      </c>
      <c r="B109" s="635" t="s">
        <v>115</v>
      </c>
      <c r="C109" s="635"/>
      <c r="D109" s="289"/>
      <c r="E109" s="289"/>
      <c r="F109" s="289"/>
      <c r="G109" s="289"/>
    </row>
    <row r="110" spans="1:7" ht="15" customHeight="1">
      <c r="A110" s="260"/>
      <c r="B110" s="636" t="s">
        <v>116</v>
      </c>
      <c r="C110" s="636"/>
      <c r="D110" s="289" t="s">
        <v>117</v>
      </c>
      <c r="E110" s="289">
        <v>2</v>
      </c>
      <c r="F110" s="289"/>
      <c r="G110" s="289"/>
    </row>
    <row r="111" spans="1:7" ht="15" customHeight="1">
      <c r="A111" s="260"/>
      <c r="B111" s="636" t="s">
        <v>118</v>
      </c>
      <c r="C111" s="636"/>
      <c r="D111" s="289" t="s">
        <v>85</v>
      </c>
      <c r="E111" s="289">
        <v>10</v>
      </c>
      <c r="F111" s="293">
        <f>(14249.86+97346.65)/73/12/193*0.5</f>
        <v>0.3300343944448388</v>
      </c>
      <c r="G111" s="290">
        <f>E110*E111*F111</f>
        <v>6.6006878888967755</v>
      </c>
    </row>
    <row r="112" spans="1:7" ht="15" customHeight="1">
      <c r="A112" s="260" t="s">
        <v>54</v>
      </c>
      <c r="B112" s="635" t="s">
        <v>119</v>
      </c>
      <c r="C112" s="635"/>
      <c r="D112" s="289"/>
      <c r="E112" s="289"/>
      <c r="F112" s="289"/>
      <c r="G112" s="289"/>
    </row>
    <row r="113" spans="1:7" ht="15" customHeight="1">
      <c r="A113" s="260"/>
      <c r="B113" s="636" t="s">
        <v>120</v>
      </c>
      <c r="C113" s="636"/>
      <c r="D113" s="289" t="s">
        <v>117</v>
      </c>
      <c r="E113" s="289"/>
      <c r="F113" s="289"/>
      <c r="G113" s="289"/>
    </row>
    <row r="114" spans="1:7" ht="15" customHeight="1">
      <c r="A114" s="260"/>
      <c r="B114" s="636" t="s">
        <v>121</v>
      </c>
      <c r="C114" s="636"/>
      <c r="D114" s="289" t="s">
        <v>85</v>
      </c>
      <c r="E114" s="289"/>
      <c r="F114" s="289"/>
      <c r="G114" s="289"/>
    </row>
    <row r="115" spans="1:7" ht="15" customHeight="1">
      <c r="A115" s="260" t="s">
        <v>22</v>
      </c>
      <c r="B115" s="635" t="s">
        <v>99</v>
      </c>
      <c r="C115" s="635"/>
      <c r="D115" s="289"/>
      <c r="E115" s="289"/>
      <c r="F115" s="289"/>
      <c r="G115" s="289"/>
    </row>
    <row r="116" spans="1:7" ht="15" customHeight="1">
      <c r="A116" s="260"/>
      <c r="B116" s="636" t="s">
        <v>97</v>
      </c>
      <c r="C116" s="636"/>
      <c r="D116" s="289" t="s">
        <v>91</v>
      </c>
      <c r="E116" s="290">
        <v>2</v>
      </c>
      <c r="F116" s="289"/>
      <c r="G116" s="289"/>
    </row>
    <row r="117" spans="1:7" ht="15" customHeight="1">
      <c r="A117" s="260"/>
      <c r="B117" s="636" t="s">
        <v>102</v>
      </c>
      <c r="C117" s="636"/>
      <c r="D117" s="289" t="s">
        <v>85</v>
      </c>
      <c r="E117" s="289"/>
      <c r="F117" s="289">
        <v>3.71</v>
      </c>
      <c r="G117" s="290">
        <f>E116*F117</f>
        <v>7.42</v>
      </c>
    </row>
    <row r="118" spans="1:7" ht="14.25" customHeight="1">
      <c r="A118" s="260" t="s">
        <v>72</v>
      </c>
      <c r="B118" s="635" t="s">
        <v>400</v>
      </c>
      <c r="C118" s="635"/>
      <c r="D118" s="289"/>
      <c r="E118" s="289"/>
      <c r="F118" s="289"/>
      <c r="G118" s="289"/>
    </row>
    <row r="119" spans="1:7" ht="15" customHeight="1">
      <c r="A119" s="301"/>
      <c r="B119" s="636" t="s">
        <v>116</v>
      </c>
      <c r="C119" s="636"/>
      <c r="D119" s="289" t="s">
        <v>117</v>
      </c>
      <c r="E119" s="289"/>
      <c r="F119" s="289"/>
      <c r="G119" s="289"/>
    </row>
    <row r="120" spans="1:7" ht="15" customHeight="1">
      <c r="A120" s="301"/>
      <c r="B120" s="636" t="s">
        <v>118</v>
      </c>
      <c r="C120" s="636"/>
      <c r="D120" s="289" t="s">
        <v>85</v>
      </c>
      <c r="E120" s="289"/>
      <c r="F120" s="293"/>
      <c r="G120" s="290"/>
    </row>
    <row r="121" spans="1:7" ht="18.75" customHeight="1">
      <c r="A121" s="260"/>
      <c r="B121" s="631" t="s">
        <v>123</v>
      </c>
      <c r="C121" s="632"/>
      <c r="D121" s="260"/>
      <c r="E121" s="261"/>
      <c r="F121" s="260"/>
      <c r="G121" s="263">
        <f>SUM(G102:G120)</f>
        <v>174.42068788889674</v>
      </c>
    </row>
    <row r="122" ht="18.75" customHeight="1">
      <c r="A122" s="245"/>
    </row>
    <row r="123" ht="18.75" customHeight="1">
      <c r="A123" s="254" t="s">
        <v>124</v>
      </c>
    </row>
    <row r="124" ht="15" thickBot="1">
      <c r="A124" s="254"/>
    </row>
    <row r="125" spans="1:9" ht="29.25" customHeight="1" thickBot="1">
      <c r="A125" s="279" t="s">
        <v>37</v>
      </c>
      <c r="B125" s="297" t="s">
        <v>38</v>
      </c>
      <c r="C125" s="298"/>
      <c r="D125" s="299" t="s">
        <v>39</v>
      </c>
      <c r="E125" s="302" t="s">
        <v>207</v>
      </c>
      <c r="F125" s="280" t="s">
        <v>58</v>
      </c>
      <c r="G125" s="280" t="s">
        <v>59</v>
      </c>
      <c r="H125" s="303"/>
      <c r="I125" s="304"/>
    </row>
    <row r="126" spans="1:9" ht="15" customHeight="1">
      <c r="A126" s="272" t="s">
        <v>9</v>
      </c>
      <c r="B126" s="634" t="s">
        <v>401</v>
      </c>
      <c r="C126" s="634"/>
      <c r="D126" s="300" t="s">
        <v>96</v>
      </c>
      <c r="E126" s="300">
        <v>1</v>
      </c>
      <c r="F126" s="300"/>
      <c r="G126" s="300"/>
      <c r="H126" s="266"/>
      <c r="I126" s="304"/>
    </row>
    <row r="127" spans="1:9" ht="15" customHeight="1">
      <c r="A127" s="260" t="s">
        <v>45</v>
      </c>
      <c r="B127" s="633" t="s">
        <v>126</v>
      </c>
      <c r="C127" s="633"/>
      <c r="D127" s="289" t="s">
        <v>127</v>
      </c>
      <c r="E127" s="289">
        <v>80</v>
      </c>
      <c r="F127" s="289"/>
      <c r="G127" s="289"/>
      <c r="H127" s="266"/>
      <c r="I127" s="304"/>
    </row>
    <row r="128" spans="1:9" ht="16.5" customHeight="1">
      <c r="A128" s="260" t="s">
        <v>14</v>
      </c>
      <c r="B128" s="633" t="s">
        <v>128</v>
      </c>
      <c r="C128" s="633"/>
      <c r="D128" s="289" t="s">
        <v>91</v>
      </c>
      <c r="E128" s="289">
        <v>8</v>
      </c>
      <c r="F128" s="293">
        <f>1880.95/712.5</f>
        <v>2.6399298245614036</v>
      </c>
      <c r="G128" s="290">
        <f>E126*E128*F128</f>
        <v>21.11943859649123</v>
      </c>
      <c r="H128" s="266"/>
      <c r="I128" s="304"/>
    </row>
    <row r="129" spans="1:9" ht="14.25" customHeight="1">
      <c r="A129" s="260" t="s">
        <v>49</v>
      </c>
      <c r="B129" s="633" t="s">
        <v>130</v>
      </c>
      <c r="C129" s="633"/>
      <c r="D129" s="289" t="s">
        <v>131</v>
      </c>
      <c r="E129" s="289"/>
      <c r="F129" s="289"/>
      <c r="G129" s="290"/>
      <c r="H129" s="266"/>
      <c r="I129" s="304"/>
    </row>
    <row r="130" spans="1:9" ht="15" customHeight="1">
      <c r="A130" s="260"/>
      <c r="B130" s="633" t="s">
        <v>132</v>
      </c>
      <c r="C130" s="633"/>
      <c r="D130" s="289" t="s">
        <v>131</v>
      </c>
      <c r="E130" s="289"/>
      <c r="F130" s="289"/>
      <c r="G130" s="290"/>
      <c r="H130" s="266"/>
      <c r="I130" s="304"/>
    </row>
    <row r="131" spans="1:9" ht="15">
      <c r="A131" s="260"/>
      <c r="B131" s="633" t="s">
        <v>133</v>
      </c>
      <c r="C131" s="633"/>
      <c r="D131" s="289" t="s">
        <v>131</v>
      </c>
      <c r="E131" s="312">
        <f>6.6/100*E127</f>
        <v>5.28</v>
      </c>
      <c r="F131" s="289">
        <v>15.83</v>
      </c>
      <c r="G131" s="290">
        <f>E131*F131</f>
        <v>83.5824</v>
      </c>
      <c r="H131" s="266"/>
      <c r="I131" s="304"/>
    </row>
    <row r="132" spans="1:9" ht="15">
      <c r="A132" s="260"/>
      <c r="B132" s="633" t="s">
        <v>134</v>
      </c>
      <c r="C132" s="633"/>
      <c r="D132" s="289" t="s">
        <v>131</v>
      </c>
      <c r="E132" s="289"/>
      <c r="F132" s="289"/>
      <c r="G132" s="290"/>
      <c r="H132" s="266"/>
      <c r="I132" s="304"/>
    </row>
    <row r="133" spans="1:9" ht="15">
      <c r="A133" s="260"/>
      <c r="B133" s="631" t="s">
        <v>135</v>
      </c>
      <c r="C133" s="632"/>
      <c r="D133" s="260"/>
      <c r="E133" s="261"/>
      <c r="F133" s="260"/>
      <c r="G133" s="263">
        <f>SUM(G126:G132)</f>
        <v>104.70183859649123</v>
      </c>
      <c r="H133" s="266"/>
      <c r="I133" s="304"/>
    </row>
    <row r="134" spans="1:9" ht="12.75">
      <c r="A134" s="296"/>
      <c r="B134" s="296"/>
      <c r="C134" s="296"/>
      <c r="D134" s="296"/>
      <c r="E134" s="296"/>
      <c r="F134" s="296"/>
      <c r="G134" s="296"/>
      <c r="H134" s="296"/>
      <c r="I134" s="296"/>
    </row>
    <row r="135" ht="15" thickBot="1">
      <c r="A135" s="254" t="s">
        <v>136</v>
      </c>
    </row>
    <row r="136" spans="1:7" ht="28.5" customHeight="1" thickBot="1">
      <c r="A136" s="279" t="s">
        <v>37</v>
      </c>
      <c r="B136" s="297" t="s">
        <v>38</v>
      </c>
      <c r="C136" s="298"/>
      <c r="D136" s="280" t="s">
        <v>39</v>
      </c>
      <c r="E136" s="280" t="s">
        <v>207</v>
      </c>
      <c r="F136" s="280" t="s">
        <v>58</v>
      </c>
      <c r="G136" s="280" t="s">
        <v>59</v>
      </c>
    </row>
    <row r="137" spans="1:7" ht="14.25" customHeight="1">
      <c r="A137" s="272" t="s">
        <v>9</v>
      </c>
      <c r="B137" s="634" t="s">
        <v>137</v>
      </c>
      <c r="C137" s="634"/>
      <c r="D137" s="272"/>
      <c r="E137" s="300"/>
      <c r="F137" s="300"/>
      <c r="G137" s="300"/>
    </row>
    <row r="138" spans="1:7" ht="14.25" customHeight="1">
      <c r="A138" s="260" t="s">
        <v>45</v>
      </c>
      <c r="B138" s="633" t="s">
        <v>139</v>
      </c>
      <c r="C138" s="633"/>
      <c r="D138" s="648"/>
      <c r="E138" s="648"/>
      <c r="F138" s="648"/>
      <c r="G138" s="648"/>
    </row>
    <row r="139" spans="1:7" ht="14.25" customHeight="1">
      <c r="A139" s="260" t="s">
        <v>14</v>
      </c>
      <c r="B139" s="633" t="s">
        <v>140</v>
      </c>
      <c r="C139" s="633"/>
      <c r="D139" s="648"/>
      <c r="E139" s="648"/>
      <c r="F139" s="648"/>
      <c r="G139" s="648"/>
    </row>
    <row r="140" spans="1:7" ht="15" customHeight="1">
      <c r="A140" s="260" t="s">
        <v>49</v>
      </c>
      <c r="B140" s="633" t="s">
        <v>141</v>
      </c>
      <c r="C140" s="633"/>
      <c r="D140" s="260" t="s">
        <v>402</v>
      </c>
      <c r="E140" s="289"/>
      <c r="F140" s="289"/>
      <c r="G140" s="289">
        <f>E140*F140*E137</f>
        <v>0</v>
      </c>
    </row>
    <row r="141" spans="1:7" ht="15" customHeight="1">
      <c r="A141" s="260" t="s">
        <v>19</v>
      </c>
      <c r="B141" s="633" t="s">
        <v>142</v>
      </c>
      <c r="C141" s="633"/>
      <c r="D141" s="260" t="s">
        <v>402</v>
      </c>
      <c r="E141" s="289"/>
      <c r="F141" s="289"/>
      <c r="G141" s="289">
        <f>E141*F141*E137</f>
        <v>0</v>
      </c>
    </row>
    <row r="142" spans="1:7" ht="15" customHeight="1">
      <c r="A142" s="260" t="s">
        <v>54</v>
      </c>
      <c r="B142" s="633" t="s">
        <v>143</v>
      </c>
      <c r="C142" s="633"/>
      <c r="D142" s="260" t="s">
        <v>85</v>
      </c>
      <c r="E142" s="289"/>
      <c r="F142" s="289"/>
      <c r="G142" s="289">
        <f>E137*F142</f>
        <v>0</v>
      </c>
    </row>
    <row r="143" spans="1:7" ht="15" customHeight="1">
      <c r="A143" s="260" t="s">
        <v>22</v>
      </c>
      <c r="B143" s="633" t="s">
        <v>144</v>
      </c>
      <c r="C143" s="633"/>
      <c r="D143" s="260" t="s">
        <v>85</v>
      </c>
      <c r="E143" s="289"/>
      <c r="F143" s="289"/>
      <c r="G143" s="289">
        <f>E137*F143</f>
        <v>0</v>
      </c>
    </row>
    <row r="144" spans="1:7" ht="15" customHeight="1">
      <c r="A144" s="260" t="s">
        <v>72</v>
      </c>
      <c r="B144" s="633" t="s">
        <v>145</v>
      </c>
      <c r="C144" s="633"/>
      <c r="D144" s="260" t="s">
        <v>85</v>
      </c>
      <c r="E144" s="289"/>
      <c r="F144" s="289"/>
      <c r="G144" s="289">
        <f>E137*F144</f>
        <v>0</v>
      </c>
    </row>
    <row r="145" spans="1:7" ht="15" customHeight="1">
      <c r="A145" s="260" t="s">
        <v>26</v>
      </c>
      <c r="B145" s="633" t="s">
        <v>146</v>
      </c>
      <c r="C145" s="633"/>
      <c r="D145" s="260" t="s">
        <v>85</v>
      </c>
      <c r="E145" s="289"/>
      <c r="F145" s="289"/>
      <c r="G145" s="289">
        <f>F145</f>
        <v>0</v>
      </c>
    </row>
    <row r="146" spans="1:7" ht="15" customHeight="1">
      <c r="A146" s="260" t="s">
        <v>31</v>
      </c>
      <c r="B146" s="633"/>
      <c r="C146" s="633"/>
      <c r="D146" s="260"/>
      <c r="E146" s="289"/>
      <c r="F146" s="289"/>
      <c r="G146" s="289"/>
    </row>
    <row r="147" spans="1:7" ht="15" customHeight="1">
      <c r="A147" s="260"/>
      <c r="B147" s="631" t="s">
        <v>147</v>
      </c>
      <c r="C147" s="632"/>
      <c r="D147" s="260"/>
      <c r="E147" s="261"/>
      <c r="F147" s="260"/>
      <c r="G147" s="263">
        <f>SUM(G140:G146)</f>
        <v>0</v>
      </c>
    </row>
    <row r="148" ht="14.25">
      <c r="A148" s="245"/>
    </row>
    <row r="149" ht="14.25">
      <c r="A149" s="245"/>
    </row>
    <row r="150" ht="14.25">
      <c r="A150" s="254" t="s">
        <v>148</v>
      </c>
    </row>
    <row r="151" ht="15" thickBot="1">
      <c r="A151" s="254"/>
    </row>
    <row r="152" spans="1:7" ht="28.5" customHeight="1" thickBot="1">
      <c r="A152" s="279" t="s">
        <v>37</v>
      </c>
      <c r="B152" s="652" t="s">
        <v>38</v>
      </c>
      <c r="C152" s="653"/>
      <c r="D152" s="299" t="s">
        <v>39</v>
      </c>
      <c r="E152" s="280" t="s">
        <v>207</v>
      </c>
      <c r="F152" s="280" t="s">
        <v>58</v>
      </c>
      <c r="G152" s="280" t="s">
        <v>59</v>
      </c>
    </row>
    <row r="153" spans="1:7" ht="14.25" customHeight="1">
      <c r="A153" s="272" t="s">
        <v>9</v>
      </c>
      <c r="B153" s="634" t="s">
        <v>403</v>
      </c>
      <c r="C153" s="634"/>
      <c r="D153" s="272" t="s">
        <v>85</v>
      </c>
      <c r="E153" s="300"/>
      <c r="F153" s="300"/>
      <c r="G153" s="300"/>
    </row>
    <row r="154" spans="1:7" ht="14.25" customHeight="1">
      <c r="A154" s="260" t="s">
        <v>45</v>
      </c>
      <c r="B154" s="633" t="s">
        <v>404</v>
      </c>
      <c r="C154" s="633"/>
      <c r="D154" s="260" t="s">
        <v>85</v>
      </c>
      <c r="E154" s="289"/>
      <c r="F154" s="289"/>
      <c r="G154" s="289"/>
    </row>
    <row r="155" spans="1:7" ht="15" customHeight="1">
      <c r="A155" s="260" t="s">
        <v>14</v>
      </c>
      <c r="B155" s="633" t="s">
        <v>405</v>
      </c>
      <c r="C155" s="633"/>
      <c r="D155" s="260" t="s">
        <v>96</v>
      </c>
      <c r="E155" s="293"/>
      <c r="F155" s="289"/>
      <c r="G155" s="290">
        <f>E155*F155</f>
        <v>0</v>
      </c>
    </row>
    <row r="156" spans="1:7" ht="14.25">
      <c r="A156" s="260" t="s">
        <v>49</v>
      </c>
      <c r="B156" s="633" t="s">
        <v>152</v>
      </c>
      <c r="C156" s="633"/>
      <c r="D156" s="260" t="s">
        <v>96</v>
      </c>
      <c r="E156" s="289">
        <v>2</v>
      </c>
      <c r="F156" s="292">
        <v>14</v>
      </c>
      <c r="G156" s="289">
        <f>E156*F156</f>
        <v>28</v>
      </c>
    </row>
    <row r="157" spans="1:7" ht="15" customHeight="1">
      <c r="A157" s="260" t="s">
        <v>19</v>
      </c>
      <c r="B157" s="633" t="s">
        <v>153</v>
      </c>
      <c r="C157" s="633"/>
      <c r="D157" s="260" t="s">
        <v>426</v>
      </c>
      <c r="E157" s="289"/>
      <c r="F157" s="289"/>
      <c r="G157" s="289"/>
    </row>
    <row r="158" spans="1:7" ht="15" customHeight="1">
      <c r="A158" s="260" t="s">
        <v>54</v>
      </c>
      <c r="B158" s="633" t="s">
        <v>154</v>
      </c>
      <c r="C158" s="633"/>
      <c r="D158" s="260" t="s">
        <v>426</v>
      </c>
      <c r="E158" s="289"/>
      <c r="F158" s="289"/>
      <c r="G158" s="289"/>
    </row>
    <row r="159" spans="1:7" ht="15" customHeight="1">
      <c r="A159" s="260" t="s">
        <v>22</v>
      </c>
      <c r="B159" s="633" t="s">
        <v>155</v>
      </c>
      <c r="C159" s="633"/>
      <c r="D159" s="260"/>
      <c r="E159" s="289"/>
      <c r="F159" s="293"/>
      <c r="G159" s="289"/>
    </row>
    <row r="160" spans="1:7" ht="15" customHeight="1">
      <c r="A160" s="260" t="s">
        <v>72</v>
      </c>
      <c r="B160" s="633" t="s">
        <v>156</v>
      </c>
      <c r="C160" s="633"/>
      <c r="D160" s="260" t="s">
        <v>426</v>
      </c>
      <c r="E160" s="289"/>
      <c r="F160" s="289"/>
      <c r="G160" s="289"/>
    </row>
    <row r="161" spans="1:7" ht="15" customHeight="1">
      <c r="A161" s="260" t="s">
        <v>26</v>
      </c>
      <c r="B161" s="633" t="s">
        <v>406</v>
      </c>
      <c r="C161" s="633"/>
      <c r="D161" s="260" t="s">
        <v>85</v>
      </c>
      <c r="E161" s="289"/>
      <c r="F161" s="289"/>
      <c r="G161" s="289"/>
    </row>
    <row r="162" spans="1:7" ht="15" customHeight="1">
      <c r="A162" s="260"/>
      <c r="B162" s="631" t="s">
        <v>158</v>
      </c>
      <c r="C162" s="632"/>
      <c r="D162" s="260"/>
      <c r="E162" s="261"/>
      <c r="F162" s="260"/>
      <c r="G162" s="263">
        <f>SUM(G153:G161)</f>
        <v>28</v>
      </c>
    </row>
    <row r="163" ht="14.25">
      <c r="A163" s="245"/>
    </row>
    <row r="164" ht="14.25">
      <c r="A164" s="254" t="s">
        <v>159</v>
      </c>
    </row>
    <row r="165" ht="15" thickBot="1">
      <c r="A165" s="254"/>
    </row>
    <row r="166" spans="1:7" ht="28.5" customHeight="1">
      <c r="A166" s="637" t="s">
        <v>37</v>
      </c>
      <c r="B166" s="642" t="s">
        <v>38</v>
      </c>
      <c r="C166" s="643"/>
      <c r="D166" s="255" t="s">
        <v>39</v>
      </c>
      <c r="E166" s="256" t="s">
        <v>207</v>
      </c>
      <c r="F166" s="256" t="s">
        <v>58</v>
      </c>
      <c r="G166" s="256" t="s">
        <v>59</v>
      </c>
    </row>
    <row r="167" spans="1:7" ht="15" customHeight="1" thickBot="1">
      <c r="A167" s="638"/>
      <c r="B167" s="644"/>
      <c r="C167" s="645"/>
      <c r="D167" s="257"/>
      <c r="E167" s="258"/>
      <c r="F167" s="258"/>
      <c r="G167" s="258"/>
    </row>
    <row r="168" spans="1:7" ht="15" customHeight="1">
      <c r="A168" s="272" t="s">
        <v>9</v>
      </c>
      <c r="B168" s="646" t="s">
        <v>160</v>
      </c>
      <c r="C168" s="647"/>
      <c r="D168" s="272" t="s">
        <v>85</v>
      </c>
      <c r="E168" s="272"/>
      <c r="F168" s="272"/>
      <c r="G168" s="272">
        <f>E168*F168</f>
        <v>0</v>
      </c>
    </row>
    <row r="169" spans="1:7" ht="15" customHeight="1">
      <c r="A169" s="260"/>
      <c r="B169" s="658"/>
      <c r="C169" s="658"/>
      <c r="D169" s="260"/>
      <c r="E169" s="260"/>
      <c r="F169" s="260"/>
      <c r="G169" s="260"/>
    </row>
    <row r="170" spans="1:7" ht="15" customHeight="1">
      <c r="A170" s="260"/>
      <c r="B170" s="631" t="s">
        <v>161</v>
      </c>
      <c r="C170" s="632"/>
      <c r="D170" s="260"/>
      <c r="E170" s="260"/>
      <c r="F170" s="260"/>
      <c r="G170" s="260">
        <f>SUM(G168:G169)</f>
        <v>0</v>
      </c>
    </row>
    <row r="171" ht="15" customHeight="1">
      <c r="A171" s="245"/>
    </row>
    <row r="172" ht="14.25">
      <c r="A172" s="254" t="s">
        <v>162</v>
      </c>
    </row>
    <row r="173" ht="15" thickBot="1">
      <c r="A173" s="254"/>
    </row>
    <row r="174" spans="1:7" ht="28.5" customHeight="1" thickBot="1">
      <c r="A174" s="279" t="s">
        <v>37</v>
      </c>
      <c r="B174" s="652" t="s">
        <v>38</v>
      </c>
      <c r="C174" s="653"/>
      <c r="D174" s="299" t="s">
        <v>39</v>
      </c>
      <c r="E174" s="280" t="s">
        <v>207</v>
      </c>
      <c r="F174" s="280" t="s">
        <v>58</v>
      </c>
      <c r="G174" s="280" t="s">
        <v>59</v>
      </c>
    </row>
    <row r="175" spans="1:7" ht="14.25" customHeight="1">
      <c r="A175" s="272" t="s">
        <v>9</v>
      </c>
      <c r="B175" s="634" t="s">
        <v>163</v>
      </c>
      <c r="C175" s="634"/>
      <c r="D175" s="272"/>
      <c r="E175" s="272"/>
      <c r="F175" s="272"/>
      <c r="G175" s="272"/>
    </row>
    <row r="176" spans="1:7" ht="14.25" customHeight="1">
      <c r="A176" s="260"/>
      <c r="B176" s="633" t="s">
        <v>164</v>
      </c>
      <c r="C176" s="633"/>
      <c r="D176" s="260" t="s">
        <v>165</v>
      </c>
      <c r="E176" s="289"/>
      <c r="F176" s="289"/>
      <c r="G176" s="289">
        <f>1*F176</f>
        <v>0</v>
      </c>
    </row>
    <row r="177" spans="1:7" ht="14.25" customHeight="1">
      <c r="A177" s="260"/>
      <c r="B177" s="633" t="s">
        <v>167</v>
      </c>
      <c r="C177" s="633"/>
      <c r="D177" s="260" t="s">
        <v>165</v>
      </c>
      <c r="E177" s="289"/>
      <c r="F177" s="289"/>
      <c r="G177" s="289">
        <f>1*F177</f>
        <v>0</v>
      </c>
    </row>
    <row r="178" spans="1:7" ht="14.25" customHeight="1">
      <c r="A178" s="260"/>
      <c r="B178" s="633" t="s">
        <v>168</v>
      </c>
      <c r="C178" s="633"/>
      <c r="D178" s="260" t="s">
        <v>165</v>
      </c>
      <c r="E178" s="289"/>
      <c r="F178" s="289"/>
      <c r="G178" s="289">
        <f>8*F178</f>
        <v>0</v>
      </c>
    </row>
    <row r="179" spans="1:7" ht="29.25" customHeight="1">
      <c r="A179" s="260" t="s">
        <v>45</v>
      </c>
      <c r="B179" s="633" t="s">
        <v>170</v>
      </c>
      <c r="C179" s="633"/>
      <c r="D179" s="260" t="s">
        <v>165</v>
      </c>
      <c r="E179" s="289"/>
      <c r="F179" s="292"/>
      <c r="G179" s="289">
        <f>E179*F179</f>
        <v>0</v>
      </c>
    </row>
    <row r="180" spans="1:7" ht="15" customHeight="1">
      <c r="A180" s="260" t="s">
        <v>14</v>
      </c>
      <c r="B180" s="633" t="s">
        <v>171</v>
      </c>
      <c r="C180" s="633"/>
      <c r="D180" s="260" t="s">
        <v>85</v>
      </c>
      <c r="E180" s="289"/>
      <c r="F180" s="289"/>
      <c r="G180" s="289">
        <f>E180*F180</f>
        <v>0</v>
      </c>
    </row>
    <row r="181" spans="1:7" ht="15" customHeight="1">
      <c r="A181" s="260" t="s">
        <v>49</v>
      </c>
      <c r="B181" s="633" t="s">
        <v>172</v>
      </c>
      <c r="C181" s="633"/>
      <c r="D181" s="260" t="s">
        <v>91</v>
      </c>
      <c r="E181" s="289"/>
      <c r="F181" s="293"/>
      <c r="G181" s="290">
        <f>E181*F181</f>
        <v>0</v>
      </c>
    </row>
    <row r="182" spans="1:7" ht="15" customHeight="1">
      <c r="A182" s="260" t="s">
        <v>19</v>
      </c>
      <c r="B182" s="633" t="s">
        <v>174</v>
      </c>
      <c r="C182" s="633"/>
      <c r="D182" s="260" t="s">
        <v>43</v>
      </c>
      <c r="E182" s="305"/>
      <c r="F182" s="306"/>
      <c r="G182" s="290">
        <f>1*F182</f>
        <v>0</v>
      </c>
    </row>
    <row r="183" spans="1:9" ht="14.25" customHeight="1">
      <c r="A183" s="260" t="s">
        <v>54</v>
      </c>
      <c r="B183" s="633" t="s">
        <v>432</v>
      </c>
      <c r="C183" s="633"/>
      <c r="D183" s="260" t="s">
        <v>43</v>
      </c>
      <c r="E183" s="293">
        <f>2/44</f>
        <v>0.045454545454545456</v>
      </c>
      <c r="F183" s="322">
        <f>17140*1.27/210</f>
        <v>103.65619047619047</v>
      </c>
      <c r="G183" s="290">
        <f>E183*F183</f>
        <v>4.711645021645022</v>
      </c>
      <c r="I183" s="325" t="s">
        <v>565</v>
      </c>
    </row>
    <row r="184" spans="1:7" ht="14.25" customHeight="1">
      <c r="A184" s="260" t="s">
        <v>22</v>
      </c>
      <c r="B184" s="633" t="s">
        <v>512</v>
      </c>
      <c r="C184" s="633"/>
      <c r="D184" s="260" t="s">
        <v>43</v>
      </c>
      <c r="E184" s="293">
        <f>2/44</f>
        <v>0.045454545454545456</v>
      </c>
      <c r="F184" s="322">
        <f>16900*1.27/210</f>
        <v>102.20476190476191</v>
      </c>
      <c r="G184" s="290">
        <f>E184*F184</f>
        <v>4.645670995670996</v>
      </c>
    </row>
    <row r="185" spans="1:7" ht="15" customHeight="1">
      <c r="A185" s="260" t="s">
        <v>72</v>
      </c>
      <c r="B185" s="633" t="s">
        <v>209</v>
      </c>
      <c r="C185" s="633"/>
      <c r="D185" s="260" t="s">
        <v>85</v>
      </c>
      <c r="E185" s="289"/>
      <c r="F185" s="289"/>
      <c r="G185" s="289">
        <f>E185*F185</f>
        <v>0</v>
      </c>
    </row>
    <row r="186" spans="1:7" ht="15" customHeight="1">
      <c r="A186" s="260"/>
      <c r="B186" s="631" t="s">
        <v>177</v>
      </c>
      <c r="C186" s="632"/>
      <c r="D186" s="260"/>
      <c r="E186" s="260"/>
      <c r="F186" s="260"/>
      <c r="G186" s="263">
        <f>SUM(G176:G185)</f>
        <v>9.357316017316018</v>
      </c>
    </row>
    <row r="187" ht="13.5" customHeight="1">
      <c r="A187" s="245"/>
    </row>
    <row r="188" ht="14.25">
      <c r="A188" s="254" t="s">
        <v>178</v>
      </c>
    </row>
    <row r="189" ht="15" thickBot="1">
      <c r="A189" s="254"/>
    </row>
    <row r="190" spans="1:7" ht="28.5" customHeight="1" thickBot="1">
      <c r="A190" s="279" t="s">
        <v>37</v>
      </c>
      <c r="B190" s="652" t="s">
        <v>38</v>
      </c>
      <c r="C190" s="653"/>
      <c r="D190" s="299" t="s">
        <v>39</v>
      </c>
      <c r="E190" s="280" t="s">
        <v>207</v>
      </c>
      <c r="F190" s="280" t="s">
        <v>58</v>
      </c>
      <c r="G190" s="280" t="s">
        <v>59</v>
      </c>
    </row>
    <row r="191" spans="1:9" ht="15" customHeight="1">
      <c r="A191" s="272" t="s">
        <v>9</v>
      </c>
      <c r="B191" s="634" t="s">
        <v>179</v>
      </c>
      <c r="C191" s="634"/>
      <c r="D191" s="272" t="s">
        <v>180</v>
      </c>
      <c r="E191" s="300"/>
      <c r="F191" s="308"/>
      <c r="G191" s="309">
        <f>E191*F191</f>
        <v>0</v>
      </c>
      <c r="H191" s="310"/>
      <c r="I191" s="310"/>
    </row>
    <row r="192" spans="1:7" ht="15" customHeight="1">
      <c r="A192" s="260" t="s">
        <v>45</v>
      </c>
      <c r="B192" s="633" t="s">
        <v>181</v>
      </c>
      <c r="C192" s="633"/>
      <c r="D192" s="260" t="s">
        <v>180</v>
      </c>
      <c r="E192" s="289"/>
      <c r="F192" s="306"/>
      <c r="G192" s="290"/>
    </row>
    <row r="193" spans="1:7" ht="15" customHeight="1">
      <c r="A193" s="260" t="s">
        <v>14</v>
      </c>
      <c r="B193" s="633" t="s">
        <v>182</v>
      </c>
      <c r="C193" s="633"/>
      <c r="D193" s="260" t="s">
        <v>180</v>
      </c>
      <c r="E193" s="289"/>
      <c r="F193" s="293"/>
      <c r="G193" s="290"/>
    </row>
    <row r="194" spans="1:7" ht="15" customHeight="1">
      <c r="A194" s="260"/>
      <c r="B194" s="631" t="s">
        <v>183</v>
      </c>
      <c r="C194" s="632"/>
      <c r="D194" s="260"/>
      <c r="E194" s="260"/>
      <c r="F194" s="260"/>
      <c r="G194" s="263">
        <f>SUM(G191:G193)</f>
        <v>0</v>
      </c>
    </row>
    <row r="195" ht="14.25">
      <c r="A195" s="245"/>
    </row>
    <row r="196" ht="14.25">
      <c r="A196" s="245"/>
    </row>
    <row r="197" ht="14.25">
      <c r="A197" s="245" t="s">
        <v>184</v>
      </c>
    </row>
    <row r="198" ht="15" thickBot="1">
      <c r="A198" s="245"/>
    </row>
    <row r="199" spans="1:7" ht="28.5" customHeight="1" thickBot="1">
      <c r="A199" s="279" t="s">
        <v>37</v>
      </c>
      <c r="B199" s="652" t="s">
        <v>38</v>
      </c>
      <c r="C199" s="653"/>
      <c r="D199" s="299" t="s">
        <v>39</v>
      </c>
      <c r="E199" s="280" t="s">
        <v>210</v>
      </c>
      <c r="F199" s="280" t="s">
        <v>58</v>
      </c>
      <c r="G199" s="280" t="s">
        <v>59</v>
      </c>
    </row>
    <row r="200" spans="1:7" ht="15" customHeight="1">
      <c r="A200" s="272" t="s">
        <v>9</v>
      </c>
      <c r="B200" s="634" t="s">
        <v>185</v>
      </c>
      <c r="C200" s="634"/>
      <c r="D200" s="272" t="s">
        <v>85</v>
      </c>
      <c r="E200" s="300">
        <v>0.5</v>
      </c>
      <c r="F200" s="300">
        <v>32.6</v>
      </c>
      <c r="G200" s="311">
        <f>E200*F200</f>
        <v>16.3</v>
      </c>
    </row>
    <row r="201" spans="1:10" ht="14.25" customHeight="1">
      <c r="A201" s="260" t="s">
        <v>45</v>
      </c>
      <c r="B201" s="633" t="s">
        <v>186</v>
      </c>
      <c r="C201" s="633"/>
      <c r="D201" s="260" t="s">
        <v>85</v>
      </c>
      <c r="E201" s="114"/>
      <c r="F201" s="44">
        <f>(1151.55+210.41+5.7+145.58)*1.2</f>
        <v>1815.888</v>
      </c>
      <c r="G201" s="103">
        <f>F201*E200</f>
        <v>907.944</v>
      </c>
      <c r="H201" s="65"/>
      <c r="I201" s="65"/>
      <c r="J201" s="65"/>
    </row>
    <row r="202" spans="1:10" ht="14.25" customHeight="1">
      <c r="A202" s="260" t="s">
        <v>14</v>
      </c>
      <c r="B202" s="633" t="s">
        <v>187</v>
      </c>
      <c r="C202" s="633"/>
      <c r="D202" s="260" t="s">
        <v>85</v>
      </c>
      <c r="E202" s="114"/>
      <c r="F202" s="114"/>
      <c r="G202" s="114"/>
      <c r="H202" s="65"/>
      <c r="I202" s="65"/>
      <c r="J202" s="65"/>
    </row>
    <row r="203" spans="1:10" ht="14.25">
      <c r="A203" s="260" t="s">
        <v>49</v>
      </c>
      <c r="B203" s="633" t="s">
        <v>188</v>
      </c>
      <c r="C203" s="633"/>
      <c r="D203" s="260" t="s">
        <v>85</v>
      </c>
      <c r="E203" s="114"/>
      <c r="F203" s="114"/>
      <c r="G203" s="114"/>
      <c r="H203" s="65"/>
      <c r="I203" s="65"/>
      <c r="J203" s="65"/>
    </row>
    <row r="204" spans="1:10" ht="15" customHeight="1">
      <c r="A204" s="260" t="s">
        <v>19</v>
      </c>
      <c r="B204" s="633" t="s">
        <v>407</v>
      </c>
      <c r="C204" s="633"/>
      <c r="D204" s="260" t="s">
        <v>85</v>
      </c>
      <c r="E204" s="114"/>
      <c r="F204" s="114"/>
      <c r="G204" s="114"/>
      <c r="H204" s="65"/>
      <c r="I204" s="65"/>
      <c r="J204" s="65"/>
    </row>
    <row r="205" spans="1:10" ht="15" customHeight="1">
      <c r="A205" s="260" t="s">
        <v>54</v>
      </c>
      <c r="B205" s="633" t="s">
        <v>190</v>
      </c>
      <c r="C205" s="633"/>
      <c r="D205" s="260" t="s">
        <v>101</v>
      </c>
      <c r="E205" s="241">
        <f>J205/F205</f>
        <v>18.074825033505</v>
      </c>
      <c r="F205" s="43">
        <v>1.68</v>
      </c>
      <c r="G205" s="240">
        <f>E205*F205</f>
        <v>30.3657060562884</v>
      </c>
      <c r="H205" s="54"/>
      <c r="I205" s="448">
        <f>1288300*0.4/8485.23</f>
        <v>60.7314121125768</v>
      </c>
      <c r="J205" s="448">
        <f>I205*E200</f>
        <v>30.3657060562884</v>
      </c>
    </row>
    <row r="206" spans="1:10" ht="15" customHeight="1">
      <c r="A206" s="260" t="s">
        <v>22</v>
      </c>
      <c r="B206" s="633" t="s">
        <v>191</v>
      </c>
      <c r="C206" s="633"/>
      <c r="D206" s="260" t="s">
        <v>192</v>
      </c>
      <c r="E206" s="446">
        <f>J206/F206</f>
        <v>0.10058302620539868</v>
      </c>
      <c r="F206" s="43">
        <f>987*1.2</f>
        <v>1184.3999999999999</v>
      </c>
      <c r="G206" s="240">
        <f>E206*F206</f>
        <v>119.13053623767418</v>
      </c>
      <c r="H206" s="54"/>
      <c r="I206" s="448">
        <f>2021700/8485.23</f>
        <v>238.26107247534836</v>
      </c>
      <c r="J206" s="448">
        <f>I206*E200</f>
        <v>119.13053623767418</v>
      </c>
    </row>
    <row r="207" spans="1:10" ht="15" customHeight="1">
      <c r="A207" s="260" t="s">
        <v>72</v>
      </c>
      <c r="B207" s="633" t="s">
        <v>193</v>
      </c>
      <c r="C207" s="633"/>
      <c r="D207" s="260" t="s">
        <v>85</v>
      </c>
      <c r="E207" s="447"/>
      <c r="F207" s="241">
        <f>(229000+16300)/8485.23</f>
        <v>28.909057267746427</v>
      </c>
      <c r="G207" s="240">
        <f>F207*E200</f>
        <v>14.454528633873213</v>
      </c>
      <c r="H207" s="54"/>
      <c r="I207" s="54"/>
      <c r="J207" s="54"/>
    </row>
    <row r="208" spans="1:10" ht="14.25" customHeight="1">
      <c r="A208" s="260" t="s">
        <v>26</v>
      </c>
      <c r="B208" s="633" t="s">
        <v>194</v>
      </c>
      <c r="C208" s="633"/>
      <c r="D208" s="260" t="s">
        <v>85</v>
      </c>
      <c r="E208" s="447"/>
      <c r="F208" s="43">
        <v>2693.4</v>
      </c>
      <c r="G208" s="240">
        <f>F208*E200</f>
        <v>1346.7</v>
      </c>
      <c r="H208" s="54"/>
      <c r="I208" s="54"/>
      <c r="J208" s="54"/>
    </row>
    <row r="209" spans="1:10" ht="15" customHeight="1">
      <c r="A209" s="260" t="s">
        <v>31</v>
      </c>
      <c r="B209" s="633" t="s">
        <v>408</v>
      </c>
      <c r="C209" s="633"/>
      <c r="D209" s="260" t="s">
        <v>85</v>
      </c>
      <c r="E209" s="447"/>
      <c r="F209" s="43">
        <v>300.6</v>
      </c>
      <c r="G209" s="240">
        <f>F209*E200</f>
        <v>150.3</v>
      </c>
      <c r="H209" s="54"/>
      <c r="I209" s="54"/>
      <c r="J209" s="54"/>
    </row>
    <row r="210" spans="1:10" ht="15" customHeight="1">
      <c r="A210" s="260" t="s">
        <v>79</v>
      </c>
      <c r="B210" s="633" t="s">
        <v>196</v>
      </c>
      <c r="C210" s="633"/>
      <c r="D210" s="260" t="s">
        <v>85</v>
      </c>
      <c r="E210" s="447"/>
      <c r="F210" s="43">
        <v>1242.8</v>
      </c>
      <c r="G210" s="240">
        <f>F210*E200</f>
        <v>621.4</v>
      </c>
      <c r="H210" s="54"/>
      <c r="I210" s="54"/>
      <c r="J210" s="54"/>
    </row>
    <row r="211" ht="14.25">
      <c r="A211" s="245"/>
    </row>
    <row r="212" ht="14.25">
      <c r="A212" s="245" t="s">
        <v>197</v>
      </c>
    </row>
    <row r="213" ht="15" thickBot="1">
      <c r="A213" s="254"/>
    </row>
    <row r="214" spans="1:7" ht="14.25" customHeight="1">
      <c r="A214" s="637" t="s">
        <v>37</v>
      </c>
      <c r="B214" s="642" t="s">
        <v>38</v>
      </c>
      <c r="C214" s="643"/>
      <c r="D214" s="255" t="s">
        <v>198</v>
      </c>
      <c r="E214" s="642" t="s">
        <v>59</v>
      </c>
      <c r="F214" s="660"/>
      <c r="G214" s="643"/>
    </row>
    <row r="215" spans="1:7" ht="15" thickBot="1">
      <c r="A215" s="638"/>
      <c r="B215" s="644"/>
      <c r="C215" s="645"/>
      <c r="D215" s="257" t="s">
        <v>199</v>
      </c>
      <c r="E215" s="644"/>
      <c r="F215" s="661"/>
      <c r="G215" s="645"/>
    </row>
    <row r="216" spans="1:11" ht="15" customHeight="1">
      <c r="A216" s="272" t="s">
        <v>9</v>
      </c>
      <c r="B216" s="634" t="s">
        <v>200</v>
      </c>
      <c r="C216" s="634"/>
      <c r="D216" s="272" t="s">
        <v>85</v>
      </c>
      <c r="E216" s="667">
        <f>G43+G60+G64+G65+G98+G121+G133+G147+G162+G170+G186+G194</f>
        <v>4026.2413297590765</v>
      </c>
      <c r="F216" s="667"/>
      <c r="G216" s="667"/>
      <c r="H216" s="313"/>
      <c r="K216" s="313"/>
    </row>
    <row r="217" spans="1:7" ht="15" customHeight="1">
      <c r="A217" s="260" t="s">
        <v>45</v>
      </c>
      <c r="B217" s="633" t="s">
        <v>201</v>
      </c>
      <c r="C217" s="633"/>
      <c r="D217" s="260" t="s">
        <v>85</v>
      </c>
      <c r="E217" s="662">
        <f>SUM(G200:G210)</f>
        <v>3206.594770927836</v>
      </c>
      <c r="F217" s="662"/>
      <c r="G217" s="662"/>
    </row>
    <row r="218" spans="1:7" ht="14.25">
      <c r="A218" s="260" t="s">
        <v>14</v>
      </c>
      <c r="B218" s="633" t="s">
        <v>202</v>
      </c>
      <c r="C218" s="633"/>
      <c r="D218" s="260" t="s">
        <v>85</v>
      </c>
      <c r="E218" s="662">
        <f>SUM(E216:G217)</f>
        <v>7232.836100686913</v>
      </c>
      <c r="F218" s="662"/>
      <c r="G218" s="662"/>
    </row>
    <row r="219" spans="1:7" ht="27.75" customHeight="1">
      <c r="A219" s="260">
        <v>4</v>
      </c>
      <c r="B219" s="633" t="s">
        <v>203</v>
      </c>
      <c r="C219" s="633"/>
      <c r="D219" s="260" t="s">
        <v>85</v>
      </c>
      <c r="E219" s="659"/>
      <c r="F219" s="659"/>
      <c r="G219" s="659"/>
    </row>
    <row r="220" spans="1:7" ht="15" customHeight="1">
      <c r="A220" s="260" t="s">
        <v>19</v>
      </c>
      <c r="B220" s="633" t="s">
        <v>204</v>
      </c>
      <c r="C220" s="633"/>
      <c r="D220" s="260" t="s">
        <v>85</v>
      </c>
      <c r="E220" s="659">
        <f>E218</f>
        <v>7232.836100686913</v>
      </c>
      <c r="F220" s="659"/>
      <c r="G220" s="659"/>
    </row>
    <row r="221" spans="1:9" ht="14.25">
      <c r="A221" s="278"/>
      <c r="I221" s="282"/>
    </row>
    <row r="222" ht="14.25">
      <c r="A222" s="278"/>
    </row>
    <row r="231" ht="14.25">
      <c r="B231" s="314" t="s">
        <v>63</v>
      </c>
    </row>
    <row r="233" ht="14.25">
      <c r="B233" s="314"/>
    </row>
  </sheetData>
  <sheetProtection/>
  <mergeCells count="166">
    <mergeCell ref="B141:C141"/>
    <mergeCell ref="B119:C119"/>
    <mergeCell ref="B121:C121"/>
    <mergeCell ref="B133:C133"/>
    <mergeCell ref="B137:C137"/>
    <mergeCell ref="B115:C115"/>
    <mergeCell ref="B116:C116"/>
    <mergeCell ref="B117:C117"/>
    <mergeCell ref="B80:C80"/>
    <mergeCell ref="B78:C78"/>
    <mergeCell ref="B79:C79"/>
    <mergeCell ref="B82:C82"/>
    <mergeCell ref="B140:C140"/>
    <mergeCell ref="B85:C85"/>
    <mergeCell ref="B86:C86"/>
    <mergeCell ref="B110:C110"/>
    <mergeCell ref="B98:C98"/>
    <mergeCell ref="A89:C89"/>
    <mergeCell ref="A94:C94"/>
    <mergeCell ref="B92:C92"/>
    <mergeCell ref="B102:C102"/>
    <mergeCell ref="B95:C95"/>
    <mergeCell ref="A31:A32"/>
    <mergeCell ref="B43:C43"/>
    <mergeCell ref="B64:C64"/>
    <mergeCell ref="B65:C65"/>
    <mergeCell ref="A38:A42"/>
    <mergeCell ref="B34:C34"/>
    <mergeCell ref="B35:C35"/>
    <mergeCell ref="B36:C36"/>
    <mergeCell ref="B38:C38"/>
    <mergeCell ref="B37:C37"/>
    <mergeCell ref="A214:A215"/>
    <mergeCell ref="B127:C127"/>
    <mergeCell ref="B128:C128"/>
    <mergeCell ref="B129:C129"/>
    <mergeCell ref="B130:C130"/>
    <mergeCell ref="B131:C131"/>
    <mergeCell ref="B132:C132"/>
    <mergeCell ref="B191:C191"/>
    <mergeCell ref="B192:C192"/>
    <mergeCell ref="A166:A167"/>
    <mergeCell ref="B143:C143"/>
    <mergeCell ref="B162:C162"/>
    <mergeCell ref="B177:C177"/>
    <mergeCell ref="B166:C167"/>
    <mergeCell ref="B168:C168"/>
    <mergeCell ref="B175:C175"/>
    <mergeCell ref="B169:C169"/>
    <mergeCell ref="B170:C170"/>
    <mergeCell ref="B176:C176"/>
    <mergeCell ref="B174:C174"/>
    <mergeCell ref="D138:G138"/>
    <mergeCell ref="B138:C138"/>
    <mergeCell ref="D139:G139"/>
    <mergeCell ref="B139:C139"/>
    <mergeCell ref="B152:C152"/>
    <mergeCell ref="B153:C153"/>
    <mergeCell ref="B144:C144"/>
    <mergeCell ref="B142:C142"/>
    <mergeCell ref="B147:C147"/>
    <mergeCell ref="B146:C146"/>
    <mergeCell ref="B107:C107"/>
    <mergeCell ref="B108:C108"/>
    <mergeCell ref="B109:C109"/>
    <mergeCell ref="B106:C106"/>
    <mergeCell ref="B87:C87"/>
    <mergeCell ref="B103:C103"/>
    <mergeCell ref="B90:C90"/>
    <mergeCell ref="B91:C91"/>
    <mergeCell ref="B97:C97"/>
    <mergeCell ref="B104:C104"/>
    <mergeCell ref="B105:C105"/>
    <mergeCell ref="B96:C96"/>
    <mergeCell ref="A88:C88"/>
    <mergeCell ref="B73:C73"/>
    <mergeCell ref="B74:C74"/>
    <mergeCell ref="B75:C75"/>
    <mergeCell ref="B76:C76"/>
    <mergeCell ref="A83:C83"/>
    <mergeCell ref="A84:C84"/>
    <mergeCell ref="G49:G50"/>
    <mergeCell ref="B81:C81"/>
    <mergeCell ref="A69:C69"/>
    <mergeCell ref="A49:A50"/>
    <mergeCell ref="F49:F50"/>
    <mergeCell ref="A70:C70"/>
    <mergeCell ref="E49:E50"/>
    <mergeCell ref="B77:C77"/>
    <mergeCell ref="B71:C71"/>
    <mergeCell ref="B72:C72"/>
    <mergeCell ref="B154:C154"/>
    <mergeCell ref="B155:C155"/>
    <mergeCell ref="B111:C111"/>
    <mergeCell ref="B112:C112"/>
    <mergeCell ref="B113:C113"/>
    <mergeCell ref="B114:C114"/>
    <mergeCell ref="B145:C145"/>
    <mergeCell ref="B126:C126"/>
    <mergeCell ref="B120:C120"/>
    <mergeCell ref="B118:C118"/>
    <mergeCell ref="B161:C161"/>
    <mergeCell ref="B160:C160"/>
    <mergeCell ref="B156:C156"/>
    <mergeCell ref="B159:C159"/>
    <mergeCell ref="B158:C158"/>
    <mergeCell ref="B157:C157"/>
    <mergeCell ref="B178:C178"/>
    <mergeCell ref="B199:C199"/>
    <mergeCell ref="B183:C183"/>
    <mergeCell ref="B184:C184"/>
    <mergeCell ref="B185:C185"/>
    <mergeCell ref="B182:C182"/>
    <mergeCell ref="B181:C181"/>
    <mergeCell ref="B190:C190"/>
    <mergeCell ref="B202:C202"/>
    <mergeCell ref="B186:C186"/>
    <mergeCell ref="B180:C180"/>
    <mergeCell ref="B194:C194"/>
    <mergeCell ref="B201:C201"/>
    <mergeCell ref="B200:C200"/>
    <mergeCell ref="E219:G219"/>
    <mergeCell ref="B208:C208"/>
    <mergeCell ref="B209:C209"/>
    <mergeCell ref="B210:C210"/>
    <mergeCell ref="E214:G215"/>
    <mergeCell ref="B219:C219"/>
    <mergeCell ref="B214:C215"/>
    <mergeCell ref="E217:G217"/>
    <mergeCell ref="E218:G218"/>
    <mergeCell ref="B33:C33"/>
    <mergeCell ref="B39:C39"/>
    <mergeCell ref="B41:C41"/>
    <mergeCell ref="B207:C207"/>
    <mergeCell ref="B203:C203"/>
    <mergeCell ref="B204:C204"/>
    <mergeCell ref="B205:C205"/>
    <mergeCell ref="B206:C206"/>
    <mergeCell ref="B193:C193"/>
    <mergeCell ref="B179:C179"/>
    <mergeCell ref="E220:G220"/>
    <mergeCell ref="B49:C49"/>
    <mergeCell ref="B68:C68"/>
    <mergeCell ref="B63:C63"/>
    <mergeCell ref="D49:D50"/>
    <mergeCell ref="B220:C220"/>
    <mergeCell ref="E216:G216"/>
    <mergeCell ref="B216:C216"/>
    <mergeCell ref="B217:C217"/>
    <mergeCell ref="B218:C218"/>
    <mergeCell ref="D18:E18"/>
    <mergeCell ref="D20:E20"/>
    <mergeCell ref="D14:E14"/>
    <mergeCell ref="B31:C32"/>
    <mergeCell ref="B26:G26"/>
    <mergeCell ref="C24:G24"/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30"/>
  <sheetViews>
    <sheetView zoomScalePageLayoutView="0" workbookViewId="0" topLeftCell="A191">
      <selection activeCell="C221" sqref="C221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444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336</v>
      </c>
      <c r="D16" s="668" t="s">
        <v>17</v>
      </c>
      <c r="E16" s="669"/>
      <c r="F16" s="668" t="s">
        <v>291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48</v>
      </c>
      <c r="D18" s="668" t="s">
        <v>21</v>
      </c>
      <c r="E18" s="669"/>
      <c r="F18" s="668" t="s">
        <v>601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602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389</v>
      </c>
      <c r="D22" s="251" t="s">
        <v>29</v>
      </c>
      <c r="E22" s="252" t="s">
        <v>390</v>
      </c>
      <c r="F22" s="676" t="s">
        <v>30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603</v>
      </c>
      <c r="D24" s="672"/>
      <c r="E24" s="672"/>
      <c r="F24" s="672"/>
      <c r="G24" s="673"/>
    </row>
    <row r="25" spans="1:7" ht="14.25">
      <c r="A25" s="253"/>
      <c r="B25" s="670" t="s">
        <v>604</v>
      </c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7" ht="15" customHeight="1">
      <c r="A34" s="260" t="s">
        <v>9</v>
      </c>
      <c r="B34" s="633" t="s">
        <v>448</v>
      </c>
      <c r="C34" s="633"/>
      <c r="D34" s="260" t="s">
        <v>43</v>
      </c>
      <c r="E34" s="261" t="s">
        <v>242</v>
      </c>
      <c r="F34" s="262">
        <f>F50/48</f>
        <v>0.8245877061469266</v>
      </c>
      <c r="G34" s="263">
        <f aca="true" t="shared" si="0" ref="G34:G41">E34*F34</f>
        <v>2.47376311844078</v>
      </c>
    </row>
    <row r="35" spans="1:9" ht="15" customHeight="1">
      <c r="A35" s="260" t="s">
        <v>45</v>
      </c>
      <c r="B35" s="633" t="s">
        <v>605</v>
      </c>
      <c r="C35" s="633"/>
      <c r="D35" s="260" t="s">
        <v>43</v>
      </c>
      <c r="E35" s="261" t="s">
        <v>409</v>
      </c>
      <c r="F35" s="262">
        <f>90/48</f>
        <v>1.875</v>
      </c>
      <c r="G35" s="263">
        <f t="shared" si="0"/>
        <v>11.25</v>
      </c>
      <c r="I35" s="325" t="s">
        <v>607</v>
      </c>
    </row>
    <row r="36" spans="1:7" ht="15" customHeight="1">
      <c r="A36" s="260" t="s">
        <v>14</v>
      </c>
      <c r="B36" s="633" t="s">
        <v>449</v>
      </c>
      <c r="C36" s="633"/>
      <c r="D36" s="260" t="s">
        <v>43</v>
      </c>
      <c r="E36" s="261" t="s">
        <v>264</v>
      </c>
      <c r="F36" s="262">
        <f>(F51+F52)/2/48</f>
        <v>0.5528485757121439</v>
      </c>
      <c r="G36" s="263">
        <f>3*F36*2</f>
        <v>3.3170914542728633</v>
      </c>
    </row>
    <row r="37" spans="1:7" ht="15" customHeight="1">
      <c r="A37" s="260" t="s">
        <v>49</v>
      </c>
      <c r="B37" s="633" t="s">
        <v>606</v>
      </c>
      <c r="C37" s="633"/>
      <c r="D37" s="260" t="s">
        <v>43</v>
      </c>
      <c r="E37" s="261" t="s">
        <v>242</v>
      </c>
      <c r="F37" s="262">
        <f>F51/48</f>
        <v>0.5809595202398801</v>
      </c>
      <c r="G37" s="263">
        <f t="shared" si="0"/>
        <v>1.7428785607196402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 t="shared" si="0"/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 t="shared" si="0"/>
        <v>0</v>
      </c>
    </row>
    <row r="40" spans="1:7" ht="15.75" customHeight="1">
      <c r="A40" s="639"/>
      <c r="B40" s="664"/>
      <c r="C40" s="665"/>
      <c r="D40" s="264"/>
      <c r="E40" s="269"/>
      <c r="F40" s="266"/>
      <c r="G40" s="263">
        <f t="shared" si="0"/>
        <v>0</v>
      </c>
    </row>
    <row r="41" spans="1:7" ht="14.25">
      <c r="A41" s="639"/>
      <c r="B41" s="270"/>
      <c r="C41" s="271"/>
      <c r="D41" s="264"/>
      <c r="E41" s="272"/>
      <c r="F41" s="266"/>
      <c r="G41" s="273">
        <f t="shared" si="0"/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18.78373313343328</v>
      </c>
    </row>
    <row r="43" ht="14.25">
      <c r="A43" s="254"/>
    </row>
    <row r="44" ht="14.25">
      <c r="A44" s="254"/>
    </row>
    <row r="45" ht="14.25">
      <c r="A45" s="254"/>
    </row>
    <row r="46" ht="14.25">
      <c r="A46" s="254"/>
    </row>
    <row r="47" ht="15" thickBot="1">
      <c r="A47" s="254" t="s">
        <v>56</v>
      </c>
    </row>
    <row r="48" spans="1:7" ht="27.75" customHeight="1" thickBot="1">
      <c r="A48" s="637" t="s">
        <v>37</v>
      </c>
      <c r="B48" s="652" t="s">
        <v>57</v>
      </c>
      <c r="C48" s="666"/>
      <c r="D48" s="642" t="s">
        <v>39</v>
      </c>
      <c r="E48" s="642" t="s">
        <v>207</v>
      </c>
      <c r="F48" s="637" t="s">
        <v>58</v>
      </c>
      <c r="G48" s="643" t="s">
        <v>59</v>
      </c>
    </row>
    <row r="49" spans="1:7" ht="15" customHeight="1" thickBot="1">
      <c r="A49" s="638"/>
      <c r="B49" s="274" t="s">
        <v>60</v>
      </c>
      <c r="C49" s="275" t="s">
        <v>61</v>
      </c>
      <c r="D49" s="644"/>
      <c r="E49" s="644"/>
      <c r="F49" s="638"/>
      <c r="G49" s="645"/>
    </row>
    <row r="50" spans="1:7" ht="15" customHeight="1">
      <c r="A50" s="260">
        <v>1</v>
      </c>
      <c r="B50" s="276" t="s">
        <v>392</v>
      </c>
      <c r="C50" s="276" t="s">
        <v>258</v>
      </c>
      <c r="D50" s="260" t="s">
        <v>43</v>
      </c>
      <c r="E50" s="261" t="s">
        <v>242</v>
      </c>
      <c r="F50" s="86">
        <f>6600*12/2001</f>
        <v>39.58020989505248</v>
      </c>
      <c r="G50" s="263">
        <f aca="true" t="shared" si="1" ref="G50:G55">E50*F50</f>
        <v>118.74062968515743</v>
      </c>
    </row>
    <row r="51" spans="1:7" ht="15" customHeight="1">
      <c r="A51" s="260">
        <v>2</v>
      </c>
      <c r="B51" s="276" t="s">
        <v>63</v>
      </c>
      <c r="C51" s="276" t="s">
        <v>445</v>
      </c>
      <c r="D51" s="260" t="s">
        <v>43</v>
      </c>
      <c r="E51" s="261" t="s">
        <v>364</v>
      </c>
      <c r="F51" s="262">
        <f>4650*12/2001</f>
        <v>27.886056971514243</v>
      </c>
      <c r="G51" s="263">
        <f t="shared" si="1"/>
        <v>446.1769115442279</v>
      </c>
    </row>
    <row r="52" spans="1:7" ht="15.75" customHeight="1">
      <c r="A52" s="260">
        <v>3</v>
      </c>
      <c r="B52" s="276" t="s">
        <v>70</v>
      </c>
      <c r="C52" s="277" t="s">
        <v>446</v>
      </c>
      <c r="D52" s="260" t="s">
        <v>43</v>
      </c>
      <c r="E52" s="261" t="s">
        <v>409</v>
      </c>
      <c r="F52" s="262">
        <f>4200*12/2001</f>
        <v>25.187406296851574</v>
      </c>
      <c r="G52" s="263">
        <f t="shared" si="1"/>
        <v>151.12443778110944</v>
      </c>
    </row>
    <row r="53" spans="1:7" ht="15" customHeight="1">
      <c r="A53" s="260">
        <v>4</v>
      </c>
      <c r="B53" s="276" t="s">
        <v>73</v>
      </c>
      <c r="C53" s="277" t="s">
        <v>446</v>
      </c>
      <c r="D53" s="260" t="s">
        <v>43</v>
      </c>
      <c r="E53" s="261" t="s">
        <v>228</v>
      </c>
      <c r="F53" s="262">
        <f>4200*12/2001</f>
        <v>25.187406296851574</v>
      </c>
      <c r="G53" s="263">
        <f t="shared" si="1"/>
        <v>25.187406296851574</v>
      </c>
    </row>
    <row r="54" spans="1:7" ht="15" customHeight="1">
      <c r="A54" s="260">
        <v>5</v>
      </c>
      <c r="B54" s="276" t="s">
        <v>75</v>
      </c>
      <c r="C54" s="277" t="s">
        <v>447</v>
      </c>
      <c r="D54" s="260" t="s">
        <v>43</v>
      </c>
      <c r="E54" s="261" t="s">
        <v>409</v>
      </c>
      <c r="F54" s="262">
        <f>4200*12/2001</f>
        <v>25.187406296851574</v>
      </c>
      <c r="G54" s="263">
        <f t="shared" si="1"/>
        <v>151.12443778110944</v>
      </c>
    </row>
    <row r="55" spans="1:9" ht="15" customHeight="1">
      <c r="A55" s="260">
        <v>6</v>
      </c>
      <c r="B55" s="276" t="s">
        <v>425</v>
      </c>
      <c r="C55" s="277" t="s">
        <v>395</v>
      </c>
      <c r="D55" s="260" t="s">
        <v>43</v>
      </c>
      <c r="E55" s="261" t="s">
        <v>409</v>
      </c>
      <c r="F55" s="315">
        <f>3894*12/2001</f>
        <v>23.35232383808096</v>
      </c>
      <c r="G55" s="316">
        <f t="shared" si="1"/>
        <v>140.11394302848575</v>
      </c>
      <c r="H55" s="317"/>
      <c r="I55" s="318" t="s">
        <v>431</v>
      </c>
    </row>
    <row r="56" spans="1:9" ht="15" customHeight="1">
      <c r="A56" s="260">
        <v>7</v>
      </c>
      <c r="B56" s="276" t="s">
        <v>80</v>
      </c>
      <c r="C56" s="277"/>
      <c r="D56" s="260" t="s">
        <v>43</v>
      </c>
      <c r="E56" s="261"/>
      <c r="F56" s="315"/>
      <c r="G56" s="263"/>
      <c r="I56" s="325"/>
    </row>
    <row r="57" spans="1:7" ht="15" customHeight="1">
      <c r="A57" s="260"/>
      <c r="B57" s="276" t="s">
        <v>82</v>
      </c>
      <c r="C57" s="276"/>
      <c r="D57" s="260"/>
      <c r="E57" s="261"/>
      <c r="F57" s="260"/>
      <c r="G57" s="263">
        <f>SUM(G50:G56)</f>
        <v>1032.4677661169414</v>
      </c>
    </row>
    <row r="58" ht="15" customHeight="1">
      <c r="A58" s="278"/>
    </row>
    <row r="59" ht="15" thickBot="1">
      <c r="A59" s="254" t="s">
        <v>83</v>
      </c>
    </row>
    <row r="60" spans="1:7" ht="28.5" customHeight="1" thickBot="1">
      <c r="A60" s="279" t="s">
        <v>37</v>
      </c>
      <c r="B60" s="652" t="s">
        <v>38</v>
      </c>
      <c r="C60" s="653"/>
      <c r="D60" s="280" t="s">
        <v>39</v>
      </c>
      <c r="E60" s="280" t="s">
        <v>207</v>
      </c>
      <c r="F60" s="280" t="s">
        <v>58</v>
      </c>
      <c r="G60" s="280" t="s">
        <v>59</v>
      </c>
    </row>
    <row r="61" spans="1:8" ht="15" customHeight="1">
      <c r="A61" s="272" t="s">
        <v>9</v>
      </c>
      <c r="B61" s="634" t="s">
        <v>84</v>
      </c>
      <c r="C61" s="634"/>
      <c r="D61" s="272" t="s">
        <v>85</v>
      </c>
      <c r="E61" s="259"/>
      <c r="F61" s="259"/>
      <c r="G61" s="281">
        <f>(G42+G57)*0.23</f>
        <v>241.7878448275862</v>
      </c>
      <c r="H61" s="282"/>
    </row>
    <row r="62" spans="1:7" ht="15" customHeight="1">
      <c r="A62" s="260" t="s">
        <v>45</v>
      </c>
      <c r="B62" s="633" t="s">
        <v>539</v>
      </c>
      <c r="C62" s="633"/>
      <c r="D62" s="260" t="s">
        <v>85</v>
      </c>
      <c r="E62" s="283"/>
      <c r="F62" s="283"/>
      <c r="G62" s="263">
        <f>(G42+G57)*0.04</f>
        <v>42.05005997001499</v>
      </c>
    </row>
    <row r="63" ht="18" customHeight="1">
      <c r="A63" s="278"/>
    </row>
    <row r="64" ht="15" thickBot="1">
      <c r="A64" s="254" t="s">
        <v>87</v>
      </c>
    </row>
    <row r="65" spans="1:7" ht="27" customHeight="1" thickBot="1">
      <c r="A65" s="256" t="s">
        <v>37</v>
      </c>
      <c r="B65" s="642" t="s">
        <v>38</v>
      </c>
      <c r="C65" s="643"/>
      <c r="D65" s="255" t="s">
        <v>39</v>
      </c>
      <c r="E65" s="284" t="s">
        <v>207</v>
      </c>
      <c r="F65" s="256" t="s">
        <v>58</v>
      </c>
      <c r="G65" s="256" t="s">
        <v>59</v>
      </c>
    </row>
    <row r="66" spans="1:7" ht="15" customHeight="1">
      <c r="A66" s="650"/>
      <c r="B66" s="650"/>
      <c r="C66" s="650"/>
      <c r="D66" s="285"/>
      <c r="E66" s="285"/>
      <c r="F66" s="286"/>
      <c r="G66" s="286"/>
    </row>
    <row r="67" spans="1:7" ht="14.25">
      <c r="A67" s="649" t="s">
        <v>88</v>
      </c>
      <c r="B67" s="649"/>
      <c r="C67" s="649"/>
      <c r="D67" s="264"/>
      <c r="E67" s="264"/>
      <c r="F67" s="266"/>
      <c r="G67" s="266"/>
    </row>
    <row r="68" spans="1:7" ht="15" customHeight="1">
      <c r="A68" s="288" t="s">
        <v>9</v>
      </c>
      <c r="B68" s="633" t="s">
        <v>313</v>
      </c>
      <c r="C68" s="633"/>
      <c r="D68" s="260"/>
      <c r="E68" s="260"/>
      <c r="F68" s="260"/>
      <c r="G68" s="260"/>
    </row>
    <row r="69" spans="1:7" ht="15" customHeight="1">
      <c r="A69" s="288" t="s">
        <v>45</v>
      </c>
      <c r="B69" s="633" t="s">
        <v>90</v>
      </c>
      <c r="C69" s="633"/>
      <c r="D69" s="260" t="s">
        <v>91</v>
      </c>
      <c r="E69" s="260"/>
      <c r="F69" s="260"/>
      <c r="G69" s="263">
        <f>E69*F69</f>
        <v>0</v>
      </c>
    </row>
    <row r="70" spans="1:7" ht="15" customHeight="1">
      <c r="A70" s="288" t="s">
        <v>14</v>
      </c>
      <c r="B70" s="633" t="s">
        <v>92</v>
      </c>
      <c r="C70" s="633"/>
      <c r="D70" s="260" t="s">
        <v>91</v>
      </c>
      <c r="E70" s="260"/>
      <c r="F70" s="260"/>
      <c r="G70" s="263"/>
    </row>
    <row r="71" spans="1:7" ht="15" customHeight="1">
      <c r="A71" s="288" t="s">
        <v>49</v>
      </c>
      <c r="B71" s="633" t="s">
        <v>93</v>
      </c>
      <c r="C71" s="633"/>
      <c r="D71" s="260" t="s">
        <v>91</v>
      </c>
      <c r="E71" s="260"/>
      <c r="F71" s="260"/>
      <c r="G71" s="263">
        <f>E71*F71</f>
        <v>0</v>
      </c>
    </row>
    <row r="72" spans="1:7" ht="15" customHeight="1">
      <c r="A72" s="288" t="s">
        <v>19</v>
      </c>
      <c r="B72" s="633" t="s">
        <v>396</v>
      </c>
      <c r="C72" s="633"/>
      <c r="D72" s="260"/>
      <c r="E72" s="260"/>
      <c r="F72" s="260"/>
      <c r="G72" s="260"/>
    </row>
    <row r="73" spans="1:7" ht="15" customHeight="1">
      <c r="A73" s="288"/>
      <c r="B73" s="636" t="s">
        <v>95</v>
      </c>
      <c r="C73" s="636"/>
      <c r="D73" s="289" t="s">
        <v>96</v>
      </c>
      <c r="E73" s="289"/>
      <c r="F73" s="289"/>
      <c r="G73" s="289"/>
    </row>
    <row r="74" spans="1:7" ht="15" customHeight="1">
      <c r="A74" s="288"/>
      <c r="B74" s="636" t="s">
        <v>97</v>
      </c>
      <c r="C74" s="636"/>
      <c r="D74" s="289" t="s">
        <v>91</v>
      </c>
      <c r="E74" s="289"/>
      <c r="F74" s="289"/>
      <c r="G74" s="289"/>
    </row>
    <row r="75" spans="1:7" ht="15" customHeight="1">
      <c r="A75" s="288"/>
      <c r="B75" s="636" t="s">
        <v>98</v>
      </c>
      <c r="C75" s="636"/>
      <c r="D75" s="289" t="s">
        <v>85</v>
      </c>
      <c r="E75" s="289"/>
      <c r="F75" s="289"/>
      <c r="G75" s="290">
        <f>E73*E74*F75</f>
        <v>0</v>
      </c>
    </row>
    <row r="76" spans="1:9" ht="15" customHeight="1">
      <c r="A76" s="288" t="s">
        <v>54</v>
      </c>
      <c r="B76" s="633" t="s">
        <v>397</v>
      </c>
      <c r="C76" s="633"/>
      <c r="D76" s="289"/>
      <c r="E76" s="289"/>
      <c r="F76" s="289"/>
      <c r="G76" s="289"/>
      <c r="I76" s="291"/>
    </row>
    <row r="77" spans="1:9" ht="15" customHeight="1">
      <c r="A77" s="288"/>
      <c r="B77" s="636" t="s">
        <v>97</v>
      </c>
      <c r="C77" s="636"/>
      <c r="D77" s="289" t="s">
        <v>91</v>
      </c>
      <c r="E77" s="289"/>
      <c r="F77" s="289"/>
      <c r="G77" s="289"/>
      <c r="I77" s="291"/>
    </row>
    <row r="78" spans="1:9" ht="15" customHeight="1">
      <c r="A78" s="288"/>
      <c r="B78" s="636" t="s">
        <v>100</v>
      </c>
      <c r="C78" s="636"/>
      <c r="D78" s="289" t="s">
        <v>101</v>
      </c>
      <c r="E78" s="292"/>
      <c r="F78" s="289"/>
      <c r="G78" s="290">
        <f>E77*E78*F78</f>
        <v>0</v>
      </c>
      <c r="I78" s="291"/>
    </row>
    <row r="79" spans="1:7" ht="15" customHeight="1">
      <c r="A79" s="288"/>
      <c r="B79" s="636" t="s">
        <v>102</v>
      </c>
      <c r="C79" s="636"/>
      <c r="D79" s="289" t="s">
        <v>91</v>
      </c>
      <c r="E79" s="289"/>
      <c r="F79" s="293"/>
      <c r="G79" s="290">
        <f>E77*F79</f>
        <v>0</v>
      </c>
    </row>
    <row r="80" spans="1:7" ht="14.25" customHeight="1">
      <c r="A80" s="649"/>
      <c r="B80" s="649"/>
      <c r="C80" s="649"/>
      <c r="D80" s="294"/>
      <c r="E80" s="294"/>
      <c r="F80" s="294"/>
      <c r="G80" s="294"/>
    </row>
    <row r="81" spans="1:7" ht="14.25">
      <c r="A81" s="649" t="s">
        <v>398</v>
      </c>
      <c r="B81" s="649"/>
      <c r="C81" s="649"/>
      <c r="D81" s="294"/>
      <c r="E81" s="294"/>
      <c r="F81" s="294"/>
      <c r="G81" s="294"/>
    </row>
    <row r="82" spans="1:7" ht="15" customHeight="1">
      <c r="A82" s="288"/>
      <c r="B82" s="636" t="s">
        <v>399</v>
      </c>
      <c r="C82" s="636"/>
      <c r="D82" s="289" t="s">
        <v>91</v>
      </c>
      <c r="E82" s="289">
        <v>6</v>
      </c>
      <c r="F82" s="289"/>
      <c r="G82" s="289"/>
    </row>
    <row r="83" spans="1:7" ht="15" customHeight="1">
      <c r="A83" s="288"/>
      <c r="B83" s="636" t="s">
        <v>104</v>
      </c>
      <c r="C83" s="636"/>
      <c r="D83" s="289" t="s">
        <v>101</v>
      </c>
      <c r="E83" s="289">
        <v>1.35</v>
      </c>
      <c r="F83" s="289">
        <v>1.68</v>
      </c>
      <c r="G83" s="290">
        <f>E82*E83*F83</f>
        <v>13.608000000000002</v>
      </c>
    </row>
    <row r="84" spans="1:7" ht="14.25" customHeight="1">
      <c r="A84" s="288"/>
      <c r="B84" s="636" t="s">
        <v>105</v>
      </c>
      <c r="C84" s="636"/>
      <c r="D84" s="289" t="s">
        <v>85</v>
      </c>
      <c r="E84" s="289"/>
      <c r="F84" s="289">
        <v>11.8</v>
      </c>
      <c r="G84" s="290">
        <f>E82*F84</f>
        <v>70.80000000000001</v>
      </c>
    </row>
    <row r="85" spans="1:7" ht="15" customHeight="1">
      <c r="A85" s="649"/>
      <c r="B85" s="649"/>
      <c r="C85" s="649"/>
      <c r="D85" s="294"/>
      <c r="E85" s="294"/>
      <c r="F85" s="294"/>
      <c r="G85" s="295"/>
    </row>
    <row r="86" spans="1:7" ht="14.25">
      <c r="A86" s="649" t="s">
        <v>106</v>
      </c>
      <c r="B86" s="649"/>
      <c r="C86" s="649"/>
      <c r="D86" s="294"/>
      <c r="E86" s="294"/>
      <c r="F86" s="294"/>
      <c r="G86" s="295"/>
    </row>
    <row r="87" spans="1:7" ht="15" customHeight="1">
      <c r="A87" s="288"/>
      <c r="B87" s="636" t="s">
        <v>97</v>
      </c>
      <c r="C87" s="636"/>
      <c r="D87" s="289" t="s">
        <v>91</v>
      </c>
      <c r="E87" s="289">
        <v>1</v>
      </c>
      <c r="F87" s="289"/>
      <c r="G87" s="290"/>
    </row>
    <row r="88" spans="1:7" ht="15" customHeight="1">
      <c r="A88" s="288"/>
      <c r="B88" s="636" t="s">
        <v>104</v>
      </c>
      <c r="C88" s="636"/>
      <c r="D88" s="289" t="s">
        <v>101</v>
      </c>
      <c r="E88" s="289">
        <v>0.5</v>
      </c>
      <c r="F88" s="289">
        <v>1.68</v>
      </c>
      <c r="G88" s="290">
        <f>E87*E88*F88</f>
        <v>0.84</v>
      </c>
    </row>
    <row r="89" spans="1:7" ht="14.25" customHeight="1">
      <c r="A89" s="288"/>
      <c r="B89" s="636" t="s">
        <v>107</v>
      </c>
      <c r="C89" s="636"/>
      <c r="D89" s="289" t="s">
        <v>85</v>
      </c>
      <c r="E89" s="289"/>
      <c r="F89" s="289">
        <v>0.6</v>
      </c>
      <c r="G89" s="290">
        <f>E87*F89</f>
        <v>0.6</v>
      </c>
    </row>
    <row r="91" spans="1:7" ht="15.75">
      <c r="A91" s="649" t="s">
        <v>208</v>
      </c>
      <c r="B91" s="649"/>
      <c r="C91" s="649"/>
      <c r="D91" s="264"/>
      <c r="E91" s="264"/>
      <c r="F91" s="266"/>
      <c r="G91" s="266"/>
    </row>
    <row r="92" spans="1:7" ht="18.75" customHeight="1">
      <c r="A92" s="276"/>
      <c r="B92" s="651"/>
      <c r="C92" s="651"/>
      <c r="D92" s="260"/>
      <c r="E92" s="260"/>
      <c r="F92" s="260"/>
      <c r="G92" s="260"/>
    </row>
    <row r="93" spans="1:7" ht="18.75" customHeight="1">
      <c r="A93" s="276"/>
      <c r="B93" s="631"/>
      <c r="C93" s="632"/>
      <c r="D93" s="260"/>
      <c r="E93" s="260"/>
      <c r="F93" s="260"/>
      <c r="G93" s="260"/>
    </row>
    <row r="94" spans="1:7" ht="14.25">
      <c r="A94" s="276"/>
      <c r="B94" s="631"/>
      <c r="C94" s="632"/>
      <c r="D94" s="260"/>
      <c r="E94" s="261"/>
      <c r="F94" s="260"/>
      <c r="G94" s="263">
        <f>SUM(G92:G93)</f>
        <v>0</v>
      </c>
    </row>
    <row r="95" spans="1:7" ht="14.25" customHeight="1">
      <c r="A95" s="260"/>
      <c r="B95" s="631" t="s">
        <v>108</v>
      </c>
      <c r="C95" s="632"/>
      <c r="D95" s="260"/>
      <c r="E95" s="261"/>
      <c r="F95" s="260"/>
      <c r="G95" s="263">
        <f>SUM(G69:G94)</f>
        <v>85.84800000000001</v>
      </c>
    </row>
    <row r="96" spans="1:7" ht="12.75">
      <c r="A96" s="296"/>
      <c r="B96" s="296"/>
      <c r="C96" s="296"/>
      <c r="D96" s="296"/>
      <c r="E96" s="296"/>
      <c r="F96" s="296"/>
      <c r="G96" s="296"/>
    </row>
    <row r="97" ht="15" thickBot="1">
      <c r="A97" s="254" t="s">
        <v>110</v>
      </c>
    </row>
    <row r="98" spans="1:7" ht="26.25" customHeight="1" thickBot="1">
      <c r="A98" s="279" t="s">
        <v>37</v>
      </c>
      <c r="B98" s="297" t="s">
        <v>38</v>
      </c>
      <c r="C98" s="298"/>
      <c r="D98" s="299" t="s">
        <v>39</v>
      </c>
      <c r="E98" s="280" t="s">
        <v>207</v>
      </c>
      <c r="F98" s="280" t="s">
        <v>58</v>
      </c>
      <c r="G98" s="280" t="s">
        <v>59</v>
      </c>
    </row>
    <row r="99" spans="1:7" ht="15" customHeight="1">
      <c r="A99" s="272" t="s">
        <v>9</v>
      </c>
      <c r="B99" s="634" t="s">
        <v>111</v>
      </c>
      <c r="C99" s="634"/>
      <c r="D99" s="300" t="s">
        <v>91</v>
      </c>
      <c r="E99" s="300"/>
      <c r="F99" s="300"/>
      <c r="G99" s="272">
        <f>E99*F99</f>
        <v>0</v>
      </c>
    </row>
    <row r="100" spans="1:7" ht="15" customHeight="1">
      <c r="A100" s="260" t="s">
        <v>45</v>
      </c>
      <c r="B100" s="633" t="s">
        <v>112</v>
      </c>
      <c r="C100" s="633"/>
      <c r="D100" s="289" t="s">
        <v>91</v>
      </c>
      <c r="E100" s="289"/>
      <c r="F100" s="289"/>
      <c r="G100" s="260">
        <f>E100*F100</f>
        <v>0</v>
      </c>
    </row>
    <row r="101" spans="1:7" ht="15" customHeight="1">
      <c r="A101" s="260" t="s">
        <v>14</v>
      </c>
      <c r="B101" s="633" t="s">
        <v>113</v>
      </c>
      <c r="C101" s="633"/>
      <c r="D101" s="289" t="s">
        <v>91</v>
      </c>
      <c r="E101" s="289"/>
      <c r="F101" s="289"/>
      <c r="G101" s="260">
        <f>E101*F101</f>
        <v>0</v>
      </c>
    </row>
    <row r="102" spans="1:7" ht="15" customHeight="1">
      <c r="A102" s="260" t="s">
        <v>49</v>
      </c>
      <c r="B102" s="633" t="s">
        <v>94</v>
      </c>
      <c r="C102" s="633"/>
      <c r="D102" s="289"/>
      <c r="E102" s="289"/>
      <c r="F102" s="289"/>
      <c r="G102" s="289"/>
    </row>
    <row r="103" spans="1:7" ht="15" customHeight="1">
      <c r="A103" s="260"/>
      <c r="B103" s="636" t="s">
        <v>95</v>
      </c>
      <c r="C103" s="636"/>
      <c r="D103" s="289" t="s">
        <v>96</v>
      </c>
      <c r="E103" s="289">
        <v>1</v>
      </c>
      <c r="F103" s="289"/>
      <c r="G103" s="289"/>
    </row>
    <row r="104" spans="1:7" ht="15" customHeight="1">
      <c r="A104" s="260"/>
      <c r="B104" s="636" t="s">
        <v>97</v>
      </c>
      <c r="C104" s="636"/>
      <c r="D104" s="289" t="s">
        <v>91</v>
      </c>
      <c r="E104" s="289">
        <v>6</v>
      </c>
      <c r="F104" s="289"/>
      <c r="G104" s="289"/>
    </row>
    <row r="105" spans="1:7" ht="15" customHeight="1">
      <c r="A105" s="260"/>
      <c r="B105" s="636" t="s">
        <v>114</v>
      </c>
      <c r="C105" s="636"/>
      <c r="D105" s="289" t="s">
        <v>85</v>
      </c>
      <c r="E105" s="289"/>
      <c r="F105" s="289">
        <v>16.04</v>
      </c>
      <c r="G105" s="290">
        <f>E103*E104*F105</f>
        <v>96.24</v>
      </c>
    </row>
    <row r="106" spans="1:7" ht="15" customHeight="1">
      <c r="A106" s="260" t="s">
        <v>19</v>
      </c>
      <c r="B106" s="635" t="s">
        <v>115</v>
      </c>
      <c r="C106" s="635"/>
      <c r="D106" s="289"/>
      <c r="E106" s="289"/>
      <c r="F106" s="289"/>
      <c r="G106" s="289"/>
    </row>
    <row r="107" spans="1:7" ht="15" customHeight="1">
      <c r="A107" s="260"/>
      <c r="B107" s="636" t="s">
        <v>116</v>
      </c>
      <c r="C107" s="636"/>
      <c r="D107" s="289" t="s">
        <v>117</v>
      </c>
      <c r="E107" s="289">
        <v>1</v>
      </c>
      <c r="F107" s="289"/>
      <c r="G107" s="289"/>
    </row>
    <row r="108" spans="1:7" ht="15" customHeight="1">
      <c r="A108" s="260"/>
      <c r="B108" s="636" t="s">
        <v>118</v>
      </c>
      <c r="C108" s="636"/>
      <c r="D108" s="289" t="s">
        <v>85</v>
      </c>
      <c r="E108" s="289">
        <v>10</v>
      </c>
      <c r="F108" s="293">
        <f>(14249.86+97346.65)/73/12/193*0.25</f>
        <v>0.1650171972224194</v>
      </c>
      <c r="G108" s="290">
        <f>E107*E108*F108</f>
        <v>1.6501719722241939</v>
      </c>
    </row>
    <row r="109" spans="1:7" ht="15" customHeight="1">
      <c r="A109" s="260" t="s">
        <v>54</v>
      </c>
      <c r="B109" s="635" t="s">
        <v>119</v>
      </c>
      <c r="C109" s="635"/>
      <c r="D109" s="289"/>
      <c r="E109" s="289"/>
      <c r="F109" s="289"/>
      <c r="G109" s="289"/>
    </row>
    <row r="110" spans="1:7" ht="15" customHeight="1">
      <c r="A110" s="260"/>
      <c r="B110" s="636" t="s">
        <v>120</v>
      </c>
      <c r="C110" s="636"/>
      <c r="D110" s="289" t="s">
        <v>117</v>
      </c>
      <c r="E110" s="289"/>
      <c r="F110" s="289"/>
      <c r="G110" s="289"/>
    </row>
    <row r="111" spans="1:7" ht="15" customHeight="1">
      <c r="A111" s="260"/>
      <c r="B111" s="636" t="s">
        <v>121</v>
      </c>
      <c r="C111" s="636"/>
      <c r="D111" s="289" t="s">
        <v>85</v>
      </c>
      <c r="E111" s="289"/>
      <c r="F111" s="289"/>
      <c r="G111" s="289">
        <f>E110*E111*F111</f>
        <v>0</v>
      </c>
    </row>
    <row r="112" spans="1:7" ht="15" customHeight="1">
      <c r="A112" s="260" t="s">
        <v>22</v>
      </c>
      <c r="B112" s="635" t="s">
        <v>99</v>
      </c>
      <c r="C112" s="635"/>
      <c r="D112" s="289"/>
      <c r="E112" s="289"/>
      <c r="F112" s="289"/>
      <c r="G112" s="289"/>
    </row>
    <row r="113" spans="1:7" ht="15" customHeight="1">
      <c r="A113" s="260"/>
      <c r="B113" s="636" t="s">
        <v>97</v>
      </c>
      <c r="C113" s="636"/>
      <c r="D113" s="289" t="s">
        <v>91</v>
      </c>
      <c r="E113" s="290">
        <v>6</v>
      </c>
      <c r="F113" s="289"/>
      <c r="G113" s="289"/>
    </row>
    <row r="114" spans="1:7" ht="15" customHeight="1">
      <c r="A114" s="260"/>
      <c r="B114" s="636" t="s">
        <v>102</v>
      </c>
      <c r="C114" s="636"/>
      <c r="D114" s="289" t="s">
        <v>85</v>
      </c>
      <c r="E114" s="289"/>
      <c r="F114" s="289">
        <v>3.71</v>
      </c>
      <c r="G114" s="290">
        <f>E113*F114</f>
        <v>22.259999999999998</v>
      </c>
    </row>
    <row r="115" spans="1:7" ht="14.25" customHeight="1">
      <c r="A115" s="260" t="s">
        <v>72</v>
      </c>
      <c r="B115" s="635" t="s">
        <v>400</v>
      </c>
      <c r="C115" s="635"/>
      <c r="D115" s="289"/>
      <c r="E115" s="289"/>
      <c r="F115" s="289"/>
      <c r="G115" s="289"/>
    </row>
    <row r="116" spans="1:7" ht="15" customHeight="1">
      <c r="A116" s="301"/>
      <c r="B116" s="636" t="s">
        <v>116</v>
      </c>
      <c r="C116" s="636"/>
      <c r="D116" s="289" t="s">
        <v>117</v>
      </c>
      <c r="E116" s="289"/>
      <c r="F116" s="289"/>
      <c r="G116" s="289"/>
    </row>
    <row r="117" spans="1:7" ht="15" customHeight="1">
      <c r="A117" s="301"/>
      <c r="B117" s="636" t="s">
        <v>118</v>
      </c>
      <c r="C117" s="636"/>
      <c r="D117" s="289" t="s">
        <v>85</v>
      </c>
      <c r="E117" s="289"/>
      <c r="F117" s="293"/>
      <c r="G117" s="290">
        <f>E116*E117*F117</f>
        <v>0</v>
      </c>
    </row>
    <row r="118" spans="1:7" ht="18.75" customHeight="1">
      <c r="A118" s="260"/>
      <c r="B118" s="631" t="s">
        <v>123</v>
      </c>
      <c r="C118" s="632"/>
      <c r="D118" s="260"/>
      <c r="E118" s="261"/>
      <c r="F118" s="260"/>
      <c r="G118" s="263">
        <f>SUM(G99:G117)</f>
        <v>120.1501719722242</v>
      </c>
    </row>
    <row r="119" ht="18.75" customHeight="1">
      <c r="A119" s="245"/>
    </row>
    <row r="120" ht="18.75" customHeight="1">
      <c r="A120" s="254" t="s">
        <v>124</v>
      </c>
    </row>
    <row r="121" ht="15" thickBot="1">
      <c r="A121" s="254"/>
    </row>
    <row r="122" spans="1:9" ht="29.25" customHeight="1" thickBot="1">
      <c r="A122" s="279" t="s">
        <v>37</v>
      </c>
      <c r="B122" s="297" t="s">
        <v>38</v>
      </c>
      <c r="C122" s="298"/>
      <c r="D122" s="299" t="s">
        <v>39</v>
      </c>
      <c r="E122" s="302" t="s">
        <v>207</v>
      </c>
      <c r="F122" s="280" t="s">
        <v>58</v>
      </c>
      <c r="G122" s="280" t="s">
        <v>59</v>
      </c>
      <c r="H122" s="303"/>
      <c r="I122" s="304"/>
    </row>
    <row r="123" spans="1:9" ht="15" customHeight="1">
      <c r="A123" s="272" t="s">
        <v>9</v>
      </c>
      <c r="B123" s="634" t="s">
        <v>401</v>
      </c>
      <c r="C123" s="634"/>
      <c r="D123" s="300" t="s">
        <v>96</v>
      </c>
      <c r="E123" s="300">
        <v>1</v>
      </c>
      <c r="F123" s="300"/>
      <c r="G123" s="300"/>
      <c r="H123" s="266"/>
      <c r="I123" s="304"/>
    </row>
    <row r="124" spans="1:9" ht="15" customHeight="1">
      <c r="A124" s="260" t="s">
        <v>45</v>
      </c>
      <c r="B124" s="633" t="s">
        <v>126</v>
      </c>
      <c r="C124" s="633"/>
      <c r="D124" s="289" t="s">
        <v>127</v>
      </c>
      <c r="E124" s="289">
        <v>50</v>
      </c>
      <c r="F124" s="289"/>
      <c r="G124" s="289"/>
      <c r="H124" s="266"/>
      <c r="I124" s="304"/>
    </row>
    <row r="125" spans="1:9" ht="16.5" customHeight="1">
      <c r="A125" s="260" t="s">
        <v>14</v>
      </c>
      <c r="B125" s="633" t="s">
        <v>128</v>
      </c>
      <c r="C125" s="633"/>
      <c r="D125" s="289" t="s">
        <v>91</v>
      </c>
      <c r="E125" s="289">
        <v>8</v>
      </c>
      <c r="F125" s="293">
        <f>1880.95/712.5</f>
        <v>2.6399298245614036</v>
      </c>
      <c r="G125" s="290">
        <f>E123*E125*F125</f>
        <v>21.11943859649123</v>
      </c>
      <c r="H125" s="266"/>
      <c r="I125" s="304"/>
    </row>
    <row r="126" spans="1:9" ht="14.25" customHeight="1">
      <c r="A126" s="260" t="s">
        <v>49</v>
      </c>
      <c r="B126" s="633" t="s">
        <v>130</v>
      </c>
      <c r="C126" s="633"/>
      <c r="D126" s="289" t="s">
        <v>131</v>
      </c>
      <c r="E126" s="289"/>
      <c r="F126" s="289"/>
      <c r="G126" s="290"/>
      <c r="H126" s="266"/>
      <c r="I126" s="304"/>
    </row>
    <row r="127" spans="1:9" ht="15" customHeight="1">
      <c r="A127" s="260"/>
      <c r="B127" s="633" t="s">
        <v>132</v>
      </c>
      <c r="C127" s="633"/>
      <c r="D127" s="289" t="s">
        <v>131</v>
      </c>
      <c r="E127" s="289"/>
      <c r="F127" s="289"/>
      <c r="G127" s="290"/>
      <c r="H127" s="266"/>
      <c r="I127" s="304"/>
    </row>
    <row r="128" spans="1:9" ht="15">
      <c r="A128" s="260"/>
      <c r="B128" s="633" t="s">
        <v>133</v>
      </c>
      <c r="C128" s="633"/>
      <c r="D128" s="289" t="s">
        <v>131</v>
      </c>
      <c r="E128" s="289">
        <f>6.6/100*E124</f>
        <v>3.3000000000000003</v>
      </c>
      <c r="F128" s="289">
        <v>15.83</v>
      </c>
      <c r="G128" s="290">
        <f>E128*F128</f>
        <v>52.239000000000004</v>
      </c>
      <c r="H128" s="266"/>
      <c r="I128" s="304"/>
    </row>
    <row r="129" spans="1:9" ht="15">
      <c r="A129" s="260"/>
      <c r="B129" s="633" t="s">
        <v>134</v>
      </c>
      <c r="C129" s="633"/>
      <c r="D129" s="289" t="s">
        <v>131</v>
      </c>
      <c r="E129" s="289"/>
      <c r="F129" s="289"/>
      <c r="G129" s="290"/>
      <c r="H129" s="266"/>
      <c r="I129" s="304"/>
    </row>
    <row r="130" spans="1:9" ht="15">
      <c r="A130" s="260"/>
      <c r="B130" s="631" t="s">
        <v>135</v>
      </c>
      <c r="C130" s="632"/>
      <c r="D130" s="260"/>
      <c r="E130" s="261"/>
      <c r="F130" s="260"/>
      <c r="G130" s="263">
        <f>SUM(G123:G129)</f>
        <v>73.35843859649123</v>
      </c>
      <c r="H130" s="266"/>
      <c r="I130" s="304"/>
    </row>
    <row r="131" spans="1:9" ht="12.75">
      <c r="A131" s="296"/>
      <c r="B131" s="296"/>
      <c r="C131" s="296"/>
      <c r="D131" s="296"/>
      <c r="E131" s="296"/>
      <c r="F131" s="296"/>
      <c r="G131" s="296"/>
      <c r="H131" s="296"/>
      <c r="I131" s="296"/>
    </row>
    <row r="132" ht="15" thickBot="1">
      <c r="A132" s="254" t="s">
        <v>136</v>
      </c>
    </row>
    <row r="133" spans="1:7" ht="28.5" customHeight="1" thickBot="1">
      <c r="A133" s="279" t="s">
        <v>37</v>
      </c>
      <c r="B133" s="297" t="s">
        <v>38</v>
      </c>
      <c r="C133" s="298"/>
      <c r="D133" s="280" t="s">
        <v>39</v>
      </c>
      <c r="E133" s="280" t="s">
        <v>207</v>
      </c>
      <c r="F133" s="280" t="s">
        <v>58</v>
      </c>
      <c r="G133" s="280" t="s">
        <v>59</v>
      </c>
    </row>
    <row r="134" spans="1:7" ht="14.25" customHeight="1">
      <c r="A134" s="272" t="s">
        <v>9</v>
      </c>
      <c r="B134" s="634" t="s">
        <v>137</v>
      </c>
      <c r="C134" s="634"/>
      <c r="D134" s="272"/>
      <c r="E134" s="300">
        <v>3</v>
      </c>
      <c r="F134" s="300"/>
      <c r="G134" s="300"/>
    </row>
    <row r="135" spans="1:7" ht="14.25" customHeight="1">
      <c r="A135" s="260" t="s">
        <v>45</v>
      </c>
      <c r="B135" s="633" t="s">
        <v>139</v>
      </c>
      <c r="C135" s="633"/>
      <c r="D135" s="648"/>
      <c r="E135" s="648"/>
      <c r="F135" s="648"/>
      <c r="G135" s="648"/>
    </row>
    <row r="136" spans="1:7" ht="14.25" customHeight="1">
      <c r="A136" s="260" t="s">
        <v>14</v>
      </c>
      <c r="B136" s="633" t="s">
        <v>140</v>
      </c>
      <c r="C136" s="633"/>
      <c r="D136" s="648"/>
      <c r="E136" s="648"/>
      <c r="F136" s="648"/>
      <c r="G136" s="648"/>
    </row>
    <row r="137" spans="1:7" ht="15" customHeight="1">
      <c r="A137" s="260" t="s">
        <v>49</v>
      </c>
      <c r="B137" s="633" t="s">
        <v>141</v>
      </c>
      <c r="C137" s="633"/>
      <c r="D137" s="260" t="s">
        <v>402</v>
      </c>
      <c r="E137" s="289">
        <v>1</v>
      </c>
      <c r="F137" s="289">
        <v>25</v>
      </c>
      <c r="G137" s="289">
        <f>E137*F137*E134</f>
        <v>75</v>
      </c>
    </row>
    <row r="138" spans="1:7" ht="15" customHeight="1">
      <c r="A138" s="260" t="s">
        <v>19</v>
      </c>
      <c r="B138" s="633" t="s">
        <v>142</v>
      </c>
      <c r="C138" s="633"/>
      <c r="D138" s="260" t="s">
        <v>402</v>
      </c>
      <c r="E138" s="289">
        <v>2</v>
      </c>
      <c r="F138" s="289">
        <v>150</v>
      </c>
      <c r="G138" s="289">
        <f>E138*F138*E134</f>
        <v>900</v>
      </c>
    </row>
    <row r="139" spans="1:7" ht="15" customHeight="1">
      <c r="A139" s="260" t="s">
        <v>54</v>
      </c>
      <c r="B139" s="633" t="s">
        <v>143</v>
      </c>
      <c r="C139" s="633"/>
      <c r="D139" s="260" t="s">
        <v>85</v>
      </c>
      <c r="E139" s="289"/>
      <c r="F139" s="289"/>
      <c r="G139" s="289">
        <f>E134*F139</f>
        <v>0</v>
      </c>
    </row>
    <row r="140" spans="1:7" ht="15" customHeight="1">
      <c r="A140" s="260" t="s">
        <v>22</v>
      </c>
      <c r="B140" s="633" t="s">
        <v>144</v>
      </c>
      <c r="C140" s="633"/>
      <c r="D140" s="260" t="s">
        <v>85</v>
      </c>
      <c r="E140" s="289"/>
      <c r="F140" s="289"/>
      <c r="G140" s="289">
        <f>E134*F140</f>
        <v>0</v>
      </c>
    </row>
    <row r="141" spans="1:7" ht="15" customHeight="1">
      <c r="A141" s="260" t="s">
        <v>72</v>
      </c>
      <c r="B141" s="633" t="s">
        <v>145</v>
      </c>
      <c r="C141" s="633"/>
      <c r="D141" s="260" t="s">
        <v>85</v>
      </c>
      <c r="E141" s="289"/>
      <c r="F141" s="289"/>
      <c r="G141" s="289">
        <f>E134*F141</f>
        <v>0</v>
      </c>
    </row>
    <row r="142" spans="1:7" ht="15" customHeight="1">
      <c r="A142" s="260" t="s">
        <v>26</v>
      </c>
      <c r="B142" s="633" t="s">
        <v>146</v>
      </c>
      <c r="C142" s="633"/>
      <c r="D142" s="260" t="s">
        <v>85</v>
      </c>
      <c r="E142" s="289"/>
      <c r="F142" s="289"/>
      <c r="G142" s="289">
        <f>F142</f>
        <v>0</v>
      </c>
    </row>
    <row r="143" spans="1:7" ht="15" customHeight="1">
      <c r="A143" s="260" t="s">
        <v>31</v>
      </c>
      <c r="B143" s="633"/>
      <c r="C143" s="633"/>
      <c r="D143" s="260"/>
      <c r="E143" s="289"/>
      <c r="F143" s="289"/>
      <c r="G143" s="289"/>
    </row>
    <row r="144" spans="1:7" ht="15" customHeight="1">
      <c r="A144" s="260"/>
      <c r="B144" s="631" t="s">
        <v>147</v>
      </c>
      <c r="C144" s="632"/>
      <c r="D144" s="260"/>
      <c r="E144" s="261"/>
      <c r="F144" s="260"/>
      <c r="G144" s="263">
        <f>SUM(G137:G143)</f>
        <v>975</v>
      </c>
    </row>
    <row r="145" ht="14.25">
      <c r="A145" s="245"/>
    </row>
    <row r="146" ht="14.25">
      <c r="A146" s="245"/>
    </row>
    <row r="147" ht="14.25">
      <c r="A147" s="254" t="s">
        <v>148</v>
      </c>
    </row>
    <row r="148" ht="15" thickBot="1">
      <c r="A148" s="254"/>
    </row>
    <row r="149" spans="1:7" ht="28.5" customHeight="1" thickBot="1">
      <c r="A149" s="279" t="s">
        <v>37</v>
      </c>
      <c r="B149" s="652" t="s">
        <v>38</v>
      </c>
      <c r="C149" s="653"/>
      <c r="D149" s="299" t="s">
        <v>39</v>
      </c>
      <c r="E149" s="280" t="s">
        <v>207</v>
      </c>
      <c r="F149" s="280" t="s">
        <v>58</v>
      </c>
      <c r="G149" s="280" t="s">
        <v>59</v>
      </c>
    </row>
    <row r="150" spans="1:7" ht="14.25" customHeight="1">
      <c r="A150" s="272" t="s">
        <v>9</v>
      </c>
      <c r="B150" s="634" t="s">
        <v>403</v>
      </c>
      <c r="C150" s="634"/>
      <c r="D150" s="272" t="s">
        <v>85</v>
      </c>
      <c r="E150" s="300"/>
      <c r="F150" s="300"/>
      <c r="G150" s="300"/>
    </row>
    <row r="151" spans="1:7" ht="14.25" customHeight="1">
      <c r="A151" s="260" t="s">
        <v>45</v>
      </c>
      <c r="B151" s="633" t="s">
        <v>404</v>
      </c>
      <c r="C151" s="633"/>
      <c r="D151" s="260" t="s">
        <v>85</v>
      </c>
      <c r="E151" s="289"/>
      <c r="F151" s="289"/>
      <c r="G151" s="289"/>
    </row>
    <row r="152" spans="1:7" ht="15" customHeight="1">
      <c r="A152" s="260" t="s">
        <v>14</v>
      </c>
      <c r="B152" s="633" t="s">
        <v>405</v>
      </c>
      <c r="C152" s="633"/>
      <c r="D152" s="260" t="s">
        <v>96</v>
      </c>
      <c r="E152" s="293">
        <f>2/48</f>
        <v>0.041666666666666664</v>
      </c>
      <c r="F152" s="289">
        <v>271.78</v>
      </c>
      <c r="G152" s="290">
        <f>E152*F152</f>
        <v>11.324166666666665</v>
      </c>
    </row>
    <row r="153" spans="1:7" ht="14.25">
      <c r="A153" s="260" t="s">
        <v>49</v>
      </c>
      <c r="B153" s="633" t="s">
        <v>152</v>
      </c>
      <c r="C153" s="633"/>
      <c r="D153" s="260" t="s">
        <v>96</v>
      </c>
      <c r="E153" s="289">
        <v>1</v>
      </c>
      <c r="F153" s="292">
        <v>14</v>
      </c>
      <c r="G153" s="289">
        <f>E153*F153</f>
        <v>14</v>
      </c>
    </row>
    <row r="154" spans="1:7" ht="15" customHeight="1">
      <c r="A154" s="260" t="s">
        <v>19</v>
      </c>
      <c r="B154" s="633" t="s">
        <v>153</v>
      </c>
      <c r="C154" s="633"/>
      <c r="D154" s="260"/>
      <c r="E154" s="289"/>
      <c r="F154" s="289"/>
      <c r="G154" s="289"/>
    </row>
    <row r="155" spans="1:7" ht="15" customHeight="1">
      <c r="A155" s="260" t="s">
        <v>54</v>
      </c>
      <c r="B155" s="633" t="s">
        <v>154</v>
      </c>
      <c r="C155" s="633"/>
      <c r="D155" s="260"/>
      <c r="E155" s="289"/>
      <c r="F155" s="289"/>
      <c r="G155" s="289"/>
    </row>
    <row r="156" spans="1:7" ht="15" customHeight="1">
      <c r="A156" s="260" t="s">
        <v>22</v>
      </c>
      <c r="B156" s="633" t="s">
        <v>155</v>
      </c>
      <c r="C156" s="633"/>
      <c r="D156" s="260"/>
      <c r="E156" s="289"/>
      <c r="F156" s="293"/>
      <c r="G156" s="289"/>
    </row>
    <row r="157" spans="1:7" ht="15" customHeight="1">
      <c r="A157" s="260" t="s">
        <v>72</v>
      </c>
      <c r="B157" s="633" t="s">
        <v>156</v>
      </c>
      <c r="C157" s="633"/>
      <c r="D157" s="260"/>
      <c r="E157" s="289"/>
      <c r="F157" s="289"/>
      <c r="G157" s="289"/>
    </row>
    <row r="158" spans="1:7" ht="15" customHeight="1">
      <c r="A158" s="260" t="s">
        <v>26</v>
      </c>
      <c r="B158" s="633" t="s">
        <v>406</v>
      </c>
      <c r="C158" s="633"/>
      <c r="D158" s="260" t="s">
        <v>85</v>
      </c>
      <c r="E158" s="289"/>
      <c r="F158" s="289"/>
      <c r="G158" s="289"/>
    </row>
    <row r="159" spans="1:7" ht="15" customHeight="1">
      <c r="A159" s="260"/>
      <c r="B159" s="631" t="s">
        <v>158</v>
      </c>
      <c r="C159" s="632"/>
      <c r="D159" s="260"/>
      <c r="E159" s="261"/>
      <c r="F159" s="260"/>
      <c r="G159" s="263">
        <f>SUM(G150:G158)</f>
        <v>25.324166666666663</v>
      </c>
    </row>
    <row r="160" ht="14.25">
      <c r="A160" s="245"/>
    </row>
    <row r="161" ht="14.25">
      <c r="A161" s="254" t="s">
        <v>159</v>
      </c>
    </row>
    <row r="162" ht="15" thickBot="1">
      <c r="A162" s="254"/>
    </row>
    <row r="163" spans="1:7" ht="28.5" customHeight="1">
      <c r="A163" s="637" t="s">
        <v>37</v>
      </c>
      <c r="B163" s="642" t="s">
        <v>38</v>
      </c>
      <c r="C163" s="643"/>
      <c r="D163" s="255" t="s">
        <v>39</v>
      </c>
      <c r="E163" s="256" t="s">
        <v>207</v>
      </c>
      <c r="F163" s="256" t="s">
        <v>58</v>
      </c>
      <c r="G163" s="256" t="s">
        <v>59</v>
      </c>
    </row>
    <row r="164" spans="1:7" ht="15" customHeight="1" thickBot="1">
      <c r="A164" s="638"/>
      <c r="B164" s="644"/>
      <c r="C164" s="645"/>
      <c r="D164" s="257"/>
      <c r="E164" s="258"/>
      <c r="F164" s="258"/>
      <c r="G164" s="258"/>
    </row>
    <row r="165" spans="1:7" ht="15" customHeight="1">
      <c r="A165" s="272" t="s">
        <v>9</v>
      </c>
      <c r="B165" s="646" t="s">
        <v>160</v>
      </c>
      <c r="C165" s="647"/>
      <c r="D165" s="272" t="s">
        <v>85</v>
      </c>
      <c r="E165" s="272"/>
      <c r="F165" s="272"/>
      <c r="G165" s="272">
        <f>E165*F165</f>
        <v>0</v>
      </c>
    </row>
    <row r="166" spans="1:7" ht="15" customHeight="1">
      <c r="A166" s="260"/>
      <c r="B166" s="658"/>
      <c r="C166" s="658"/>
      <c r="D166" s="260"/>
      <c r="E166" s="260"/>
      <c r="F166" s="260"/>
      <c r="G166" s="260"/>
    </row>
    <row r="167" spans="1:7" ht="15" customHeight="1">
      <c r="A167" s="260"/>
      <c r="B167" s="631" t="s">
        <v>161</v>
      </c>
      <c r="C167" s="632"/>
      <c r="D167" s="260"/>
      <c r="E167" s="260"/>
      <c r="F167" s="260"/>
      <c r="G167" s="260">
        <f>SUM(G165:G166)</f>
        <v>0</v>
      </c>
    </row>
    <row r="168" ht="15" customHeight="1">
      <c r="A168" s="245"/>
    </row>
    <row r="169" ht="14.25">
      <c r="A169" s="254" t="s">
        <v>162</v>
      </c>
    </row>
    <row r="170" ht="15" thickBot="1">
      <c r="A170" s="254"/>
    </row>
    <row r="171" spans="1:7" ht="28.5" customHeight="1" thickBot="1">
      <c r="A171" s="279" t="s">
        <v>37</v>
      </c>
      <c r="B171" s="652" t="s">
        <v>38</v>
      </c>
      <c r="C171" s="653"/>
      <c r="D171" s="299" t="s">
        <v>39</v>
      </c>
      <c r="E171" s="280" t="s">
        <v>207</v>
      </c>
      <c r="F171" s="280" t="s">
        <v>58</v>
      </c>
      <c r="G171" s="280" t="s">
        <v>59</v>
      </c>
    </row>
    <row r="172" spans="1:7" ht="14.25" customHeight="1">
      <c r="A172" s="272" t="s">
        <v>9</v>
      </c>
      <c r="B172" s="634" t="s">
        <v>163</v>
      </c>
      <c r="C172" s="634"/>
      <c r="D172" s="272"/>
      <c r="E172" s="272"/>
      <c r="F172" s="272"/>
      <c r="G172" s="272"/>
    </row>
    <row r="173" spans="1:7" ht="14.25" customHeight="1">
      <c r="A173" s="260"/>
      <c r="B173" s="633" t="s">
        <v>164</v>
      </c>
      <c r="C173" s="633"/>
      <c r="D173" s="260" t="s">
        <v>165</v>
      </c>
      <c r="E173" s="289"/>
      <c r="F173" s="289"/>
      <c r="G173" s="289">
        <f>E173*F173</f>
        <v>0</v>
      </c>
    </row>
    <row r="174" spans="1:7" ht="14.25" customHeight="1">
      <c r="A174" s="260"/>
      <c r="B174" s="633" t="s">
        <v>167</v>
      </c>
      <c r="C174" s="633"/>
      <c r="D174" s="260" t="s">
        <v>165</v>
      </c>
      <c r="E174" s="289"/>
      <c r="F174" s="289"/>
      <c r="G174" s="289">
        <f>E174*F174</f>
        <v>0</v>
      </c>
    </row>
    <row r="175" spans="1:7" ht="14.25" customHeight="1">
      <c r="A175" s="260"/>
      <c r="B175" s="633" t="s">
        <v>168</v>
      </c>
      <c r="C175" s="633"/>
      <c r="D175" s="260" t="s">
        <v>165</v>
      </c>
      <c r="E175" s="289"/>
      <c r="F175" s="289"/>
      <c r="G175" s="289"/>
    </row>
    <row r="176" spans="1:7" ht="29.25" customHeight="1">
      <c r="A176" s="260" t="s">
        <v>45</v>
      </c>
      <c r="B176" s="633" t="s">
        <v>170</v>
      </c>
      <c r="C176" s="633"/>
      <c r="D176" s="260" t="s">
        <v>165</v>
      </c>
      <c r="E176" s="289"/>
      <c r="F176" s="292"/>
      <c r="G176" s="289">
        <f>E176*F176</f>
        <v>0</v>
      </c>
    </row>
    <row r="177" spans="1:7" ht="15" customHeight="1">
      <c r="A177" s="260" t="s">
        <v>14</v>
      </c>
      <c r="B177" s="633" t="s">
        <v>171</v>
      </c>
      <c r="C177" s="633"/>
      <c r="D177" s="260" t="s">
        <v>85</v>
      </c>
      <c r="E177" s="289"/>
      <c r="F177" s="289"/>
      <c r="G177" s="289">
        <f>E177*F177</f>
        <v>0</v>
      </c>
    </row>
    <row r="178" spans="1:7" ht="15" customHeight="1">
      <c r="A178" s="260" t="s">
        <v>49</v>
      </c>
      <c r="B178" s="633" t="s">
        <v>172</v>
      </c>
      <c r="C178" s="633"/>
      <c r="D178" s="260" t="s">
        <v>91</v>
      </c>
      <c r="E178" s="289"/>
      <c r="F178" s="293"/>
      <c r="G178" s="290">
        <f>E178*F178</f>
        <v>0</v>
      </c>
    </row>
    <row r="179" spans="1:7" ht="15" customHeight="1">
      <c r="A179" s="260" t="s">
        <v>19</v>
      </c>
      <c r="B179" s="633" t="s">
        <v>174</v>
      </c>
      <c r="C179" s="633"/>
      <c r="D179" s="260" t="s">
        <v>43</v>
      </c>
      <c r="E179" s="305"/>
      <c r="F179" s="306"/>
      <c r="G179" s="290">
        <f>1*F179</f>
        <v>0</v>
      </c>
    </row>
    <row r="180" spans="1:7" ht="14.25" customHeight="1">
      <c r="A180" s="260" t="s">
        <v>54</v>
      </c>
      <c r="B180" s="633" t="s">
        <v>175</v>
      </c>
      <c r="C180" s="633"/>
      <c r="D180" s="260" t="s">
        <v>43</v>
      </c>
      <c r="E180" s="329"/>
      <c r="F180" s="293"/>
      <c r="G180" s="290">
        <f>2*F180</f>
        <v>0</v>
      </c>
    </row>
    <row r="181" spans="1:7" ht="14.25" customHeight="1">
      <c r="A181" s="260" t="s">
        <v>22</v>
      </c>
      <c r="B181" s="633" t="s">
        <v>176</v>
      </c>
      <c r="C181" s="633"/>
      <c r="D181" s="260" t="s">
        <v>43</v>
      </c>
      <c r="E181" s="307"/>
      <c r="F181" s="289"/>
      <c r="G181" s="289">
        <f>E181*F181</f>
        <v>0</v>
      </c>
    </row>
    <row r="182" spans="1:7" ht="15" customHeight="1">
      <c r="A182" s="260" t="s">
        <v>72</v>
      </c>
      <c r="B182" s="633" t="s">
        <v>209</v>
      </c>
      <c r="C182" s="633"/>
      <c r="D182" s="260" t="s">
        <v>85</v>
      </c>
      <c r="E182" s="289"/>
      <c r="F182" s="289"/>
      <c r="G182" s="289">
        <f>E182*F182</f>
        <v>0</v>
      </c>
    </row>
    <row r="183" spans="1:7" ht="15" customHeight="1">
      <c r="A183" s="260"/>
      <c r="B183" s="631" t="s">
        <v>177</v>
      </c>
      <c r="C183" s="632"/>
      <c r="D183" s="260"/>
      <c r="E183" s="260"/>
      <c r="F183" s="260"/>
      <c r="G183" s="263">
        <f>SUM(G173:G182)</f>
        <v>0</v>
      </c>
    </row>
    <row r="184" ht="13.5" customHeight="1">
      <c r="A184" s="245"/>
    </row>
    <row r="185" ht="14.25">
      <c r="A185" s="254" t="s">
        <v>178</v>
      </c>
    </row>
    <row r="186" ht="15" thickBot="1">
      <c r="A186" s="254"/>
    </row>
    <row r="187" spans="1:7" ht="28.5" customHeight="1" thickBot="1">
      <c r="A187" s="279" t="s">
        <v>37</v>
      </c>
      <c r="B187" s="652" t="s">
        <v>38</v>
      </c>
      <c r="C187" s="653"/>
      <c r="D187" s="299" t="s">
        <v>39</v>
      </c>
      <c r="E187" s="280" t="s">
        <v>207</v>
      </c>
      <c r="F187" s="280" t="s">
        <v>58</v>
      </c>
      <c r="G187" s="280" t="s">
        <v>59</v>
      </c>
    </row>
    <row r="188" spans="1:9" ht="15" customHeight="1">
      <c r="A188" s="272" t="s">
        <v>9</v>
      </c>
      <c r="B188" s="634" t="s">
        <v>179</v>
      </c>
      <c r="C188" s="634"/>
      <c r="D188" s="272" t="s">
        <v>180</v>
      </c>
      <c r="E188" s="300"/>
      <c r="F188" s="308"/>
      <c r="G188" s="309">
        <f>E188*F188</f>
        <v>0</v>
      </c>
      <c r="H188" s="310"/>
      <c r="I188" s="310"/>
    </row>
    <row r="189" spans="1:7" ht="15" customHeight="1">
      <c r="A189" s="260" t="s">
        <v>45</v>
      </c>
      <c r="B189" s="633" t="s">
        <v>181</v>
      </c>
      <c r="C189" s="633"/>
      <c r="D189" s="260" t="s">
        <v>180</v>
      </c>
      <c r="E189" s="289"/>
      <c r="F189" s="306"/>
      <c r="G189" s="290"/>
    </row>
    <row r="190" spans="1:7" ht="15" customHeight="1">
      <c r="A190" s="260" t="s">
        <v>14</v>
      </c>
      <c r="B190" s="633" t="s">
        <v>182</v>
      </c>
      <c r="C190" s="633"/>
      <c r="D190" s="260" t="s">
        <v>180</v>
      </c>
      <c r="E190" s="289"/>
      <c r="F190" s="293"/>
      <c r="G190" s="290"/>
    </row>
    <row r="191" spans="1:7" ht="15" customHeight="1">
      <c r="A191" s="260"/>
      <c r="B191" s="631" t="s">
        <v>183</v>
      </c>
      <c r="C191" s="632"/>
      <c r="D191" s="260"/>
      <c r="E191" s="260"/>
      <c r="F191" s="260"/>
      <c r="G191" s="263">
        <f>SUM(G188:G190)</f>
        <v>0</v>
      </c>
    </row>
    <row r="192" ht="14.25">
      <c r="A192" s="245"/>
    </row>
    <row r="193" ht="14.25">
      <c r="A193" s="245"/>
    </row>
    <row r="194" ht="14.25">
      <c r="A194" s="245" t="s">
        <v>184</v>
      </c>
    </row>
    <row r="195" ht="15" thickBot="1">
      <c r="A195" s="245"/>
    </row>
    <row r="196" spans="1:7" ht="28.5" customHeight="1" thickBot="1">
      <c r="A196" s="279" t="s">
        <v>37</v>
      </c>
      <c r="B196" s="652" t="s">
        <v>38</v>
      </c>
      <c r="C196" s="653"/>
      <c r="D196" s="299" t="s">
        <v>39</v>
      </c>
      <c r="E196" s="280" t="s">
        <v>210</v>
      </c>
      <c r="F196" s="280" t="s">
        <v>58</v>
      </c>
      <c r="G196" s="280" t="s">
        <v>59</v>
      </c>
    </row>
    <row r="197" spans="1:7" ht="15" customHeight="1">
      <c r="A197" s="272" t="s">
        <v>9</v>
      </c>
      <c r="B197" s="634" t="s">
        <v>185</v>
      </c>
      <c r="C197" s="634"/>
      <c r="D197" s="272" t="s">
        <v>85</v>
      </c>
      <c r="E197" s="300">
        <v>0.25</v>
      </c>
      <c r="F197" s="300">
        <v>32.6</v>
      </c>
      <c r="G197" s="311">
        <f>E197*F197</f>
        <v>8.15</v>
      </c>
    </row>
    <row r="198" spans="1:10" ht="14.25" customHeight="1">
      <c r="A198" s="260" t="s">
        <v>45</v>
      </c>
      <c r="B198" s="633" t="s">
        <v>186</v>
      </c>
      <c r="C198" s="633"/>
      <c r="D198" s="260" t="s">
        <v>85</v>
      </c>
      <c r="E198" s="114"/>
      <c r="F198" s="44">
        <f>(1151.55+210.41+5.7+145.58)*1.2</f>
        <v>1815.888</v>
      </c>
      <c r="G198" s="103">
        <f>F198*E197</f>
        <v>453.972</v>
      </c>
      <c r="H198" s="65"/>
      <c r="I198" s="65"/>
      <c r="J198" s="65"/>
    </row>
    <row r="199" spans="1:10" ht="14.25" customHeight="1">
      <c r="A199" s="260" t="s">
        <v>14</v>
      </c>
      <c r="B199" s="633" t="s">
        <v>187</v>
      </c>
      <c r="C199" s="633"/>
      <c r="D199" s="260" t="s">
        <v>85</v>
      </c>
      <c r="E199" s="114"/>
      <c r="F199" s="114"/>
      <c r="G199" s="114"/>
      <c r="H199" s="65"/>
      <c r="I199" s="65"/>
      <c r="J199" s="65"/>
    </row>
    <row r="200" spans="1:10" ht="14.25">
      <c r="A200" s="260" t="s">
        <v>49</v>
      </c>
      <c r="B200" s="633" t="s">
        <v>188</v>
      </c>
      <c r="C200" s="633"/>
      <c r="D200" s="260" t="s">
        <v>85</v>
      </c>
      <c r="E200" s="114"/>
      <c r="F200" s="114"/>
      <c r="G200" s="114"/>
      <c r="H200" s="65"/>
      <c r="I200" s="65"/>
      <c r="J200" s="65"/>
    </row>
    <row r="201" spans="1:10" ht="15" customHeight="1">
      <c r="A201" s="260" t="s">
        <v>19</v>
      </c>
      <c r="B201" s="633" t="s">
        <v>407</v>
      </c>
      <c r="C201" s="633"/>
      <c r="D201" s="260" t="s">
        <v>85</v>
      </c>
      <c r="E201" s="114"/>
      <c r="F201" s="114"/>
      <c r="G201" s="114"/>
      <c r="H201" s="65"/>
      <c r="I201" s="65"/>
      <c r="J201" s="65"/>
    </row>
    <row r="202" spans="1:10" ht="15" customHeight="1">
      <c r="A202" s="260" t="s">
        <v>54</v>
      </c>
      <c r="B202" s="633" t="s">
        <v>190</v>
      </c>
      <c r="C202" s="633"/>
      <c r="D202" s="260" t="s">
        <v>101</v>
      </c>
      <c r="E202" s="241">
        <f>J202/F202</f>
        <v>9.0374125167525</v>
      </c>
      <c r="F202" s="43">
        <v>1.68</v>
      </c>
      <c r="G202" s="240">
        <f>E202*F202</f>
        <v>15.1828530281442</v>
      </c>
      <c r="H202" s="54"/>
      <c r="I202" s="448">
        <f>1288300*0.4/8485.23</f>
        <v>60.7314121125768</v>
      </c>
      <c r="J202" s="448">
        <f>I202*E197</f>
        <v>15.1828530281442</v>
      </c>
    </row>
    <row r="203" spans="1:10" ht="15" customHeight="1">
      <c r="A203" s="260" t="s">
        <v>22</v>
      </c>
      <c r="B203" s="633" t="s">
        <v>191</v>
      </c>
      <c r="C203" s="633"/>
      <c r="D203" s="260" t="s">
        <v>192</v>
      </c>
      <c r="E203" s="446">
        <f>J203/F203</f>
        <v>0.05029151310269934</v>
      </c>
      <c r="F203" s="43">
        <f>987*1.2</f>
        <v>1184.3999999999999</v>
      </c>
      <c r="G203" s="240">
        <f>E203*F203</f>
        <v>59.56526811883709</v>
      </c>
      <c r="H203" s="54"/>
      <c r="I203" s="448">
        <f>2021700/8485.23</f>
        <v>238.26107247534836</v>
      </c>
      <c r="J203" s="448">
        <f>I203*E197</f>
        <v>59.56526811883709</v>
      </c>
    </row>
    <row r="204" spans="1:10" ht="15" customHeight="1">
      <c r="A204" s="260" t="s">
        <v>72</v>
      </c>
      <c r="B204" s="633" t="s">
        <v>193</v>
      </c>
      <c r="C204" s="633"/>
      <c r="D204" s="260" t="s">
        <v>85</v>
      </c>
      <c r="E204" s="447"/>
      <c r="F204" s="241">
        <f>(229000+16300)/8485.23</f>
        <v>28.909057267746427</v>
      </c>
      <c r="G204" s="240">
        <f>F204*E197</f>
        <v>7.227264316936607</v>
      </c>
      <c r="H204" s="54"/>
      <c r="I204" s="54"/>
      <c r="J204" s="54"/>
    </row>
    <row r="205" spans="1:10" ht="14.25" customHeight="1">
      <c r="A205" s="260" t="s">
        <v>26</v>
      </c>
      <c r="B205" s="633" t="s">
        <v>194</v>
      </c>
      <c r="C205" s="633"/>
      <c r="D205" s="260" t="s">
        <v>85</v>
      </c>
      <c r="E205" s="447"/>
      <c r="F205" s="43">
        <v>2693.4</v>
      </c>
      <c r="G205" s="240">
        <f>F205*E197</f>
        <v>673.35</v>
      </c>
      <c r="H205" s="54"/>
      <c r="I205" s="54"/>
      <c r="J205" s="54"/>
    </row>
    <row r="206" spans="1:10" ht="15" customHeight="1">
      <c r="A206" s="260" t="s">
        <v>31</v>
      </c>
      <c r="B206" s="633" t="s">
        <v>408</v>
      </c>
      <c r="C206" s="633"/>
      <c r="D206" s="260" t="s">
        <v>85</v>
      </c>
      <c r="E206" s="447"/>
      <c r="F206" s="43">
        <v>300.6</v>
      </c>
      <c r="G206" s="240">
        <f>F206*E197</f>
        <v>75.15</v>
      </c>
      <c r="H206" s="54"/>
      <c r="I206" s="54"/>
      <c r="J206" s="54"/>
    </row>
    <row r="207" spans="1:10" ht="15" customHeight="1">
      <c r="A207" s="260" t="s">
        <v>79</v>
      </c>
      <c r="B207" s="633" t="s">
        <v>196</v>
      </c>
      <c r="C207" s="633"/>
      <c r="D207" s="260" t="s">
        <v>85</v>
      </c>
      <c r="E207" s="447"/>
      <c r="F207" s="43">
        <v>1242.8</v>
      </c>
      <c r="G207" s="240">
        <f>F207*E197</f>
        <v>310.7</v>
      </c>
      <c r="H207" s="54"/>
      <c r="I207" s="54"/>
      <c r="J207" s="54"/>
    </row>
    <row r="208" ht="14.25">
      <c r="A208" s="245"/>
    </row>
    <row r="209" ht="14.25">
      <c r="A209" s="245" t="s">
        <v>197</v>
      </c>
    </row>
    <row r="210" ht="15" thickBot="1">
      <c r="A210" s="254"/>
    </row>
    <row r="211" spans="1:7" ht="14.25" customHeight="1">
      <c r="A211" s="637" t="s">
        <v>37</v>
      </c>
      <c r="B211" s="642" t="s">
        <v>38</v>
      </c>
      <c r="C211" s="643"/>
      <c r="D211" s="255" t="s">
        <v>198</v>
      </c>
      <c r="E211" s="642" t="s">
        <v>59</v>
      </c>
      <c r="F211" s="660"/>
      <c r="G211" s="643"/>
    </row>
    <row r="212" spans="1:7" ht="15" thickBot="1">
      <c r="A212" s="638"/>
      <c r="B212" s="644"/>
      <c r="C212" s="645"/>
      <c r="D212" s="257" t="s">
        <v>199</v>
      </c>
      <c r="E212" s="644"/>
      <c r="F212" s="661"/>
      <c r="G212" s="645"/>
    </row>
    <row r="213" spans="1:11" ht="15" customHeight="1">
      <c r="A213" s="272" t="s">
        <v>9</v>
      </c>
      <c r="B213" s="634" t="s">
        <v>200</v>
      </c>
      <c r="C213" s="634"/>
      <c r="D213" s="272" t="s">
        <v>85</v>
      </c>
      <c r="E213" s="667">
        <f>G42+G57+G61+G62+G95+G118+G130+G144+G159+G167+G183+G191</f>
        <v>2614.770181283358</v>
      </c>
      <c r="F213" s="667"/>
      <c r="G213" s="667"/>
      <c r="H213" s="313"/>
      <c r="K213" s="313"/>
    </row>
    <row r="214" spans="1:7" ht="15" customHeight="1">
      <c r="A214" s="260" t="s">
        <v>45</v>
      </c>
      <c r="B214" s="633" t="s">
        <v>201</v>
      </c>
      <c r="C214" s="633"/>
      <c r="D214" s="260" t="s">
        <v>85</v>
      </c>
      <c r="E214" s="662">
        <f>SUM(G197:G207)</f>
        <v>1603.297385463918</v>
      </c>
      <c r="F214" s="662"/>
      <c r="G214" s="662"/>
    </row>
    <row r="215" spans="1:7" ht="14.25">
      <c r="A215" s="260" t="s">
        <v>14</v>
      </c>
      <c r="B215" s="633" t="s">
        <v>202</v>
      </c>
      <c r="C215" s="633"/>
      <c r="D215" s="260" t="s">
        <v>85</v>
      </c>
      <c r="E215" s="662">
        <f>SUM(E213:G214)</f>
        <v>4218.067566747276</v>
      </c>
      <c r="F215" s="662"/>
      <c r="G215" s="662"/>
    </row>
    <row r="216" spans="1:7" ht="27.75" customHeight="1">
      <c r="A216" s="260">
        <v>4</v>
      </c>
      <c r="B216" s="633" t="s">
        <v>203</v>
      </c>
      <c r="C216" s="633"/>
      <c r="D216" s="260" t="s">
        <v>85</v>
      </c>
      <c r="E216" s="659"/>
      <c r="F216" s="659"/>
      <c r="G216" s="659"/>
    </row>
    <row r="217" spans="1:7" ht="15" customHeight="1">
      <c r="A217" s="260" t="s">
        <v>19</v>
      </c>
      <c r="B217" s="633" t="s">
        <v>204</v>
      </c>
      <c r="C217" s="633"/>
      <c r="D217" s="260" t="s">
        <v>85</v>
      </c>
      <c r="E217" s="659">
        <f>E215</f>
        <v>4218.067566747276</v>
      </c>
      <c r="F217" s="659"/>
      <c r="G217" s="659"/>
    </row>
    <row r="218" spans="1:9" ht="14.25">
      <c r="A218" s="278"/>
      <c r="I218" s="282"/>
    </row>
    <row r="219" ht="14.25">
      <c r="A219" s="278"/>
    </row>
    <row r="228" ht="14.25">
      <c r="B228" s="314" t="s">
        <v>63</v>
      </c>
    </row>
    <row r="230" ht="14.25">
      <c r="B230" s="314"/>
    </row>
  </sheetData>
  <sheetProtection/>
  <mergeCells count="166"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  <mergeCell ref="D18:E18"/>
    <mergeCell ref="D20:E20"/>
    <mergeCell ref="D14:E14"/>
    <mergeCell ref="B31:C32"/>
    <mergeCell ref="B26:G26"/>
    <mergeCell ref="C24:G24"/>
    <mergeCell ref="E217:G217"/>
    <mergeCell ref="B48:C48"/>
    <mergeCell ref="B65:C65"/>
    <mergeCell ref="B60:C60"/>
    <mergeCell ref="D48:D49"/>
    <mergeCell ref="B217:C217"/>
    <mergeCell ref="E213:G213"/>
    <mergeCell ref="B213:C213"/>
    <mergeCell ref="B214:C214"/>
    <mergeCell ref="B215:C215"/>
    <mergeCell ref="B33:C33"/>
    <mergeCell ref="B39:C39"/>
    <mergeCell ref="B40:C40"/>
    <mergeCell ref="B204:C204"/>
    <mergeCell ref="B200:C200"/>
    <mergeCell ref="B201:C201"/>
    <mergeCell ref="B202:C202"/>
    <mergeCell ref="B203:C203"/>
    <mergeCell ref="B190:C190"/>
    <mergeCell ref="B176:C176"/>
    <mergeCell ref="E216:G216"/>
    <mergeCell ref="B205:C205"/>
    <mergeCell ref="B206:C206"/>
    <mergeCell ref="B207:C207"/>
    <mergeCell ref="E211:G212"/>
    <mergeCell ref="B216:C216"/>
    <mergeCell ref="B211:C212"/>
    <mergeCell ref="E214:G214"/>
    <mergeCell ref="E215:G215"/>
    <mergeCell ref="B199:C199"/>
    <mergeCell ref="B183:C183"/>
    <mergeCell ref="B177:C177"/>
    <mergeCell ref="B191:C191"/>
    <mergeCell ref="B198:C198"/>
    <mergeCell ref="B197:C197"/>
    <mergeCell ref="B175:C175"/>
    <mergeCell ref="B196:C196"/>
    <mergeCell ref="B180:C180"/>
    <mergeCell ref="B181:C181"/>
    <mergeCell ref="B182:C182"/>
    <mergeCell ref="B179:C179"/>
    <mergeCell ref="B178:C178"/>
    <mergeCell ref="B187:C187"/>
    <mergeCell ref="B158:C158"/>
    <mergeCell ref="B157:C157"/>
    <mergeCell ref="B153:C153"/>
    <mergeCell ref="B156:C156"/>
    <mergeCell ref="B155:C155"/>
    <mergeCell ref="B154:C154"/>
    <mergeCell ref="B151:C151"/>
    <mergeCell ref="B152:C152"/>
    <mergeCell ref="B108:C108"/>
    <mergeCell ref="B109:C109"/>
    <mergeCell ref="B110:C110"/>
    <mergeCell ref="B111:C111"/>
    <mergeCell ref="B142:C142"/>
    <mergeCell ref="B123:C123"/>
    <mergeCell ref="B117:C117"/>
    <mergeCell ref="B115:C115"/>
    <mergeCell ref="G48:G49"/>
    <mergeCell ref="B78:C78"/>
    <mergeCell ref="A66:C66"/>
    <mergeCell ref="A48:A49"/>
    <mergeCell ref="F48:F49"/>
    <mergeCell ref="A67:C67"/>
    <mergeCell ref="E48:E49"/>
    <mergeCell ref="B74:C74"/>
    <mergeCell ref="B68:C68"/>
    <mergeCell ref="B69:C69"/>
    <mergeCell ref="B103:C103"/>
    <mergeCell ref="B70:C70"/>
    <mergeCell ref="B71:C71"/>
    <mergeCell ref="B72:C72"/>
    <mergeCell ref="B73:C73"/>
    <mergeCell ref="B101:C101"/>
    <mergeCell ref="B102:C102"/>
    <mergeCell ref="B93:C93"/>
    <mergeCell ref="A85:C85"/>
    <mergeCell ref="D135:G135"/>
    <mergeCell ref="B135:C135"/>
    <mergeCell ref="D136:G136"/>
    <mergeCell ref="B136:C136"/>
    <mergeCell ref="B84:C84"/>
    <mergeCell ref="B100:C100"/>
    <mergeCell ref="B87:C87"/>
    <mergeCell ref="B88:C88"/>
    <mergeCell ref="B94:C94"/>
    <mergeCell ref="B104:C104"/>
    <mergeCell ref="B149:C149"/>
    <mergeCell ref="B150:C150"/>
    <mergeCell ref="B141:C141"/>
    <mergeCell ref="B139:C139"/>
    <mergeCell ref="B144:C144"/>
    <mergeCell ref="B143:C143"/>
    <mergeCell ref="B140:C140"/>
    <mergeCell ref="B159:C159"/>
    <mergeCell ref="B174:C174"/>
    <mergeCell ref="B163:C164"/>
    <mergeCell ref="B165:C165"/>
    <mergeCell ref="B172:C172"/>
    <mergeCell ref="B166:C166"/>
    <mergeCell ref="B167:C167"/>
    <mergeCell ref="B173:C173"/>
    <mergeCell ref="B171:C171"/>
    <mergeCell ref="A211:A212"/>
    <mergeCell ref="B124:C124"/>
    <mergeCell ref="B125:C125"/>
    <mergeCell ref="B126:C126"/>
    <mergeCell ref="B127:C127"/>
    <mergeCell ref="B128:C128"/>
    <mergeCell ref="B129:C129"/>
    <mergeCell ref="B188:C188"/>
    <mergeCell ref="B189:C189"/>
    <mergeCell ref="A163:A164"/>
    <mergeCell ref="A31:A32"/>
    <mergeCell ref="B42:C42"/>
    <mergeCell ref="B61:C61"/>
    <mergeCell ref="B62:C62"/>
    <mergeCell ref="A38:A41"/>
    <mergeCell ref="B34:C34"/>
    <mergeCell ref="B35:C35"/>
    <mergeCell ref="B36:C36"/>
    <mergeCell ref="B38:C38"/>
    <mergeCell ref="B37:C37"/>
    <mergeCell ref="B83:C83"/>
    <mergeCell ref="B107:C107"/>
    <mergeCell ref="B95:C95"/>
    <mergeCell ref="A86:C86"/>
    <mergeCell ref="A91:C91"/>
    <mergeCell ref="B89:C89"/>
    <mergeCell ref="B99:C99"/>
    <mergeCell ref="B92:C92"/>
    <mergeCell ref="B105:C105"/>
    <mergeCell ref="B106:C106"/>
    <mergeCell ref="B77:C77"/>
    <mergeCell ref="B75:C75"/>
    <mergeCell ref="B76:C76"/>
    <mergeCell ref="B79:C79"/>
    <mergeCell ref="A80:C80"/>
    <mergeCell ref="A81:C81"/>
    <mergeCell ref="B137:C137"/>
    <mergeCell ref="B82:C82"/>
    <mergeCell ref="B138:C138"/>
    <mergeCell ref="B116:C116"/>
    <mergeCell ref="B118:C118"/>
    <mergeCell ref="B130:C130"/>
    <mergeCell ref="B134:C134"/>
    <mergeCell ref="B112:C112"/>
    <mergeCell ref="B113:C113"/>
    <mergeCell ref="B114:C114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28"/>
  <sheetViews>
    <sheetView zoomScalePageLayoutView="0" workbookViewId="0" topLeftCell="A200">
      <selection activeCell="J229" sqref="J229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374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375</v>
      </c>
      <c r="D18" s="596" t="s">
        <v>17</v>
      </c>
      <c r="E18" s="597"/>
      <c r="F18" s="596" t="s">
        <v>351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236" t="s">
        <v>433</v>
      </c>
      <c r="D20" s="596" t="s">
        <v>21</v>
      </c>
      <c r="E20" s="597"/>
      <c r="F20" s="596" t="s">
        <v>536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376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338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377</v>
      </c>
      <c r="D26" s="592"/>
      <c r="E26" s="592"/>
      <c r="F26" s="592"/>
      <c r="G26" s="593"/>
    </row>
    <row r="27" spans="1:7" ht="15" thickBot="1">
      <c r="A27" s="75"/>
      <c r="B27" s="591"/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9" ht="15" customHeight="1">
      <c r="A36" s="84" t="s">
        <v>9</v>
      </c>
      <c r="B36" s="613" t="s">
        <v>378</v>
      </c>
      <c r="C36" s="613"/>
      <c r="D36" s="84" t="s">
        <v>43</v>
      </c>
      <c r="E36" s="85">
        <v>16</v>
      </c>
      <c r="F36" s="86">
        <f>F50/12</f>
        <v>3.0696517412935322</v>
      </c>
      <c r="G36" s="85">
        <f aca="true" t="shared" si="0" ref="G36:G43">E36*F36</f>
        <v>49.114427860696516</v>
      </c>
      <c r="I36" s="239"/>
    </row>
    <row r="37" spans="1:9" ht="15" customHeight="1">
      <c r="A37" s="84" t="s">
        <v>45</v>
      </c>
      <c r="B37" s="613" t="s">
        <v>379</v>
      </c>
      <c r="C37" s="613"/>
      <c r="D37" s="84" t="s">
        <v>43</v>
      </c>
      <c r="E37" s="94" t="s">
        <v>352</v>
      </c>
      <c r="F37" s="86">
        <f>F50/12</f>
        <v>3.0696517412935322</v>
      </c>
      <c r="G37" s="85">
        <f t="shared" si="0"/>
        <v>73.67164179104478</v>
      </c>
      <c r="I37"/>
    </row>
    <row r="38" spans="1:9" ht="15" customHeight="1">
      <c r="A38" s="84" t="s">
        <v>14</v>
      </c>
      <c r="B38" s="613" t="s">
        <v>380</v>
      </c>
      <c r="C38" s="613"/>
      <c r="D38" s="84" t="s">
        <v>43</v>
      </c>
      <c r="E38" s="94" t="s">
        <v>240</v>
      </c>
      <c r="F38" s="86">
        <f>F50/12</f>
        <v>3.0696517412935322</v>
      </c>
      <c r="G38" s="85">
        <f t="shared" si="0"/>
        <v>24.557213930348258</v>
      </c>
      <c r="I38"/>
    </row>
    <row r="39" spans="1:9" ht="15" customHeight="1">
      <c r="A39" s="84" t="s">
        <v>49</v>
      </c>
      <c r="B39" s="613" t="s">
        <v>381</v>
      </c>
      <c r="C39" s="613"/>
      <c r="D39" s="84" t="s">
        <v>43</v>
      </c>
      <c r="E39" s="94" t="s">
        <v>240</v>
      </c>
      <c r="F39" s="86">
        <f>F50/12</f>
        <v>3.0696517412935322</v>
      </c>
      <c r="G39" s="85">
        <f t="shared" si="0"/>
        <v>24.557213930348258</v>
      </c>
      <c r="I39"/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/>
      <c r="C41" s="608"/>
      <c r="D41" s="87"/>
      <c r="E41" s="90"/>
      <c r="F41" s="239"/>
      <c r="G41" s="85">
        <f t="shared" si="0"/>
        <v>0</v>
      </c>
    </row>
    <row r="42" spans="1:7" ht="15.75" customHeight="1">
      <c r="A42" s="627"/>
      <c r="B42" s="607"/>
      <c r="C42" s="608"/>
      <c r="D42" s="87"/>
      <c r="E42" s="90"/>
      <c r="F42" s="239"/>
      <c r="G42" s="85">
        <f t="shared" si="0"/>
        <v>0</v>
      </c>
    </row>
    <row r="43" spans="1:7" ht="14.25">
      <c r="A43" s="627"/>
      <c r="B43" s="609"/>
      <c r="C43" s="610"/>
      <c r="D43" s="87"/>
      <c r="E43" s="91"/>
      <c r="F43" s="239"/>
      <c r="G43" s="85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171.90049751243782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/>
      <c r="D49" s="84" t="s">
        <v>43</v>
      </c>
      <c r="E49" s="84"/>
      <c r="F49" s="86"/>
      <c r="G49" s="85">
        <f aca="true" t="shared" si="1" ref="G49:G57">E49*F49</f>
        <v>0</v>
      </c>
    </row>
    <row r="50" spans="1:9" ht="15" customHeight="1">
      <c r="A50" s="84">
        <v>2</v>
      </c>
      <c r="B50" s="93" t="s">
        <v>63</v>
      </c>
      <c r="C50" s="93" t="s">
        <v>382</v>
      </c>
      <c r="D50" s="84" t="s">
        <v>43</v>
      </c>
      <c r="E50" s="84">
        <v>16</v>
      </c>
      <c r="F50" s="237">
        <f>6170*12/2010</f>
        <v>36.83582089552239</v>
      </c>
      <c r="G50" s="85">
        <f t="shared" si="1"/>
        <v>589.3731343283582</v>
      </c>
      <c r="I50" s="234"/>
    </row>
    <row r="51" spans="1:7" ht="15" customHeight="1">
      <c r="A51" s="84">
        <v>3</v>
      </c>
      <c r="B51" s="93" t="s">
        <v>309</v>
      </c>
      <c r="C51" s="93" t="s">
        <v>382</v>
      </c>
      <c r="D51" s="84" t="s">
        <v>43</v>
      </c>
      <c r="E51" s="84">
        <v>24</v>
      </c>
      <c r="F51" s="237">
        <f>6170*12/2010</f>
        <v>36.83582089552239</v>
      </c>
      <c r="G51" s="85">
        <f t="shared" si="1"/>
        <v>884.0597014925373</v>
      </c>
    </row>
    <row r="52" spans="1:9" ht="15" customHeight="1">
      <c r="A52" s="84">
        <v>4</v>
      </c>
      <c r="B52" s="93" t="s">
        <v>67</v>
      </c>
      <c r="C52" s="93" t="s">
        <v>476</v>
      </c>
      <c r="D52" s="84" t="s">
        <v>43</v>
      </c>
      <c r="E52" s="94" t="s">
        <v>384</v>
      </c>
      <c r="F52" s="86">
        <f>4382*12/2010</f>
        <v>26.161194029850748</v>
      </c>
      <c r="G52" s="85">
        <f>8*F52*3</f>
        <v>627.868656716418</v>
      </c>
      <c r="I52" s="234" t="s">
        <v>270</v>
      </c>
    </row>
    <row r="53" spans="1:9" ht="15" customHeight="1">
      <c r="A53" s="84">
        <v>5</v>
      </c>
      <c r="B53" s="93" t="s">
        <v>285</v>
      </c>
      <c r="C53" s="93" t="s">
        <v>382</v>
      </c>
      <c r="D53" s="84" t="s">
        <v>43</v>
      </c>
      <c r="E53" s="94" t="s">
        <v>240</v>
      </c>
      <c r="F53" s="86">
        <f>6170*12/2010</f>
        <v>36.83582089552239</v>
      </c>
      <c r="G53" s="85">
        <f t="shared" si="1"/>
        <v>294.6865671641791</v>
      </c>
      <c r="I53" s="234"/>
    </row>
    <row r="54" spans="1:9" ht="15" customHeight="1">
      <c r="A54" s="84">
        <v>6</v>
      </c>
      <c r="B54" s="93" t="s">
        <v>70</v>
      </c>
      <c r="C54" s="93" t="s">
        <v>382</v>
      </c>
      <c r="D54" s="84" t="s">
        <v>43</v>
      </c>
      <c r="E54" s="84">
        <v>48</v>
      </c>
      <c r="F54" s="237">
        <f>6170*12/2010</f>
        <v>36.83582089552239</v>
      </c>
      <c r="G54" s="85">
        <f t="shared" si="1"/>
        <v>1768.1194029850747</v>
      </c>
      <c r="I54" s="234"/>
    </row>
    <row r="55" spans="1:9" ht="15" customHeight="1">
      <c r="A55" s="84">
        <v>7</v>
      </c>
      <c r="B55" s="93" t="s">
        <v>73</v>
      </c>
      <c r="C55" s="93" t="s">
        <v>517</v>
      </c>
      <c r="D55" s="84" t="s">
        <v>43</v>
      </c>
      <c r="E55" s="94" t="s">
        <v>352</v>
      </c>
      <c r="F55" s="237">
        <f>(4220+4220)*12/4020</f>
        <v>25.19402985074627</v>
      </c>
      <c r="G55" s="85">
        <f t="shared" si="1"/>
        <v>604.6567164179105</v>
      </c>
      <c r="I55" s="119"/>
    </row>
    <row r="56" spans="1:7" ht="15" customHeight="1">
      <c r="A56" s="84">
        <v>8</v>
      </c>
      <c r="B56" s="93" t="s">
        <v>75</v>
      </c>
      <c r="C56" s="93" t="s">
        <v>331</v>
      </c>
      <c r="D56" s="84" t="s">
        <v>43</v>
      </c>
      <c r="E56" s="84">
        <v>16</v>
      </c>
      <c r="F56" s="237">
        <f>4200*12/2010</f>
        <v>25.074626865671643</v>
      </c>
      <c r="G56" s="85">
        <f t="shared" si="1"/>
        <v>401.1940298507463</v>
      </c>
    </row>
    <row r="57" spans="1:9" ht="15" customHeight="1">
      <c r="A57" s="84">
        <v>9</v>
      </c>
      <c r="B57" s="93" t="s">
        <v>80</v>
      </c>
      <c r="C57" s="93" t="s">
        <v>331</v>
      </c>
      <c r="D57" s="84" t="s">
        <v>43</v>
      </c>
      <c r="E57" s="94" t="s">
        <v>364</v>
      </c>
      <c r="F57" s="237">
        <f>4200*12/2010</f>
        <v>25.074626865671643</v>
      </c>
      <c r="G57" s="85">
        <f t="shared" si="1"/>
        <v>401.1940298507463</v>
      </c>
      <c r="I57" s="234"/>
    </row>
    <row r="58" spans="1:9" ht="15" customHeight="1">
      <c r="A58" s="84">
        <v>10</v>
      </c>
      <c r="B58" s="93" t="s">
        <v>383</v>
      </c>
      <c r="C58" s="93" t="s">
        <v>382</v>
      </c>
      <c r="D58" s="84" t="s">
        <v>43</v>
      </c>
      <c r="E58" s="94"/>
      <c r="F58" s="237"/>
      <c r="G58" s="85"/>
      <c r="I58" s="63"/>
    </row>
    <row r="59" spans="1:9" ht="15" customHeight="1">
      <c r="A59" s="84">
        <v>11</v>
      </c>
      <c r="B59" s="93" t="s">
        <v>77</v>
      </c>
      <c r="C59" s="93" t="s">
        <v>382</v>
      </c>
      <c r="D59" s="84" t="s">
        <v>43</v>
      </c>
      <c r="E59" s="94" t="s">
        <v>240</v>
      </c>
      <c r="F59" s="237">
        <f>6170*12/2010</f>
        <v>36.83582089552239</v>
      </c>
      <c r="G59" s="85">
        <f>E59*F59</f>
        <v>294.6865671641791</v>
      </c>
      <c r="I59" s="63"/>
    </row>
    <row r="60" spans="1:7" ht="15" customHeight="1">
      <c r="A60" s="84"/>
      <c r="B60" s="93" t="s">
        <v>82</v>
      </c>
      <c r="C60" s="93"/>
      <c r="D60" s="84"/>
      <c r="E60" s="84"/>
      <c r="F60" s="84"/>
      <c r="G60" s="85">
        <f>SUM(G49:G59)</f>
        <v>5865.838805970149</v>
      </c>
    </row>
    <row r="61" ht="15" customHeight="1">
      <c r="A61" s="95"/>
    </row>
    <row r="62" ht="15" thickBot="1">
      <c r="A62" s="76" t="s">
        <v>83</v>
      </c>
    </row>
    <row r="63" spans="1:7" ht="28.5" customHeight="1">
      <c r="A63" s="96" t="s">
        <v>37</v>
      </c>
      <c r="B63" s="598" t="s">
        <v>38</v>
      </c>
      <c r="C63" s="599"/>
      <c r="D63" s="78" t="s">
        <v>39</v>
      </c>
      <c r="E63" s="78" t="s">
        <v>207</v>
      </c>
      <c r="F63" s="78" t="s">
        <v>58</v>
      </c>
      <c r="G63" s="78" t="s">
        <v>59</v>
      </c>
    </row>
    <row r="64" spans="1:7" ht="15" customHeight="1">
      <c r="A64" s="84" t="s">
        <v>9</v>
      </c>
      <c r="B64" s="613" t="s">
        <v>84</v>
      </c>
      <c r="C64" s="613"/>
      <c r="D64" s="84" t="s">
        <v>85</v>
      </c>
      <c r="E64" s="97"/>
      <c r="F64" s="97"/>
      <c r="G64" s="85">
        <f>(G44+G60)*0.23</f>
        <v>1388.6800398009952</v>
      </c>
    </row>
    <row r="65" spans="1:7" ht="15" customHeight="1">
      <c r="A65" s="84" t="s">
        <v>45</v>
      </c>
      <c r="B65" s="613" t="s">
        <v>86</v>
      </c>
      <c r="C65" s="613"/>
      <c r="D65" s="84" t="s">
        <v>85</v>
      </c>
      <c r="E65" s="97"/>
      <c r="F65" s="97"/>
      <c r="G65" s="85">
        <f>(G44+G60)*0.035</f>
        <v>211.32087562189056</v>
      </c>
    </row>
    <row r="66" ht="18" customHeight="1">
      <c r="A66" s="95"/>
    </row>
    <row r="67" ht="15" thickBot="1">
      <c r="A67" s="76" t="s">
        <v>87</v>
      </c>
    </row>
    <row r="68" spans="1:7" ht="27" customHeight="1" thickBot="1">
      <c r="A68" s="78" t="s">
        <v>37</v>
      </c>
      <c r="B68" s="598" t="s">
        <v>38</v>
      </c>
      <c r="C68" s="599"/>
      <c r="D68" s="77" t="s">
        <v>39</v>
      </c>
      <c r="E68" s="96" t="s">
        <v>207</v>
      </c>
      <c r="F68" s="78" t="s">
        <v>58</v>
      </c>
      <c r="G68" s="78" t="s">
        <v>59</v>
      </c>
    </row>
    <row r="69" spans="1:7" ht="15" customHeight="1">
      <c r="A69" s="625"/>
      <c r="B69" s="625"/>
      <c r="C69" s="625"/>
      <c r="D69" s="98"/>
      <c r="E69" s="98"/>
      <c r="F69" s="99"/>
      <c r="G69" s="99"/>
    </row>
    <row r="70" spans="1:7" ht="14.25">
      <c r="A70" s="620" t="s">
        <v>88</v>
      </c>
      <c r="B70" s="620"/>
      <c r="C70" s="620"/>
      <c r="D70" s="87"/>
      <c r="E70" s="87"/>
      <c r="F70" s="89"/>
      <c r="G70" s="89"/>
    </row>
    <row r="71" spans="1:7" ht="15" customHeight="1">
      <c r="A71" s="100" t="s">
        <v>9</v>
      </c>
      <c r="B71" s="613" t="s">
        <v>273</v>
      </c>
      <c r="C71" s="613"/>
      <c r="D71" s="84"/>
      <c r="E71" s="84"/>
      <c r="F71" s="84"/>
      <c r="G71" s="84"/>
    </row>
    <row r="72" spans="1:7" ht="15" customHeight="1">
      <c r="A72" s="100" t="s">
        <v>45</v>
      </c>
      <c r="B72" s="613" t="s">
        <v>90</v>
      </c>
      <c r="C72" s="613"/>
      <c r="D72" s="84" t="s">
        <v>91</v>
      </c>
      <c r="E72" s="84">
        <v>5</v>
      </c>
      <c r="F72" s="84">
        <v>635.1</v>
      </c>
      <c r="G72" s="85">
        <f>E72*F72</f>
        <v>3175.5</v>
      </c>
    </row>
    <row r="73" spans="1:7" ht="15" customHeight="1">
      <c r="A73" s="100" t="s">
        <v>14</v>
      </c>
      <c r="B73" s="613" t="s">
        <v>92</v>
      </c>
      <c r="C73" s="613"/>
      <c r="D73" s="84" t="s">
        <v>91</v>
      </c>
      <c r="E73" s="84"/>
      <c r="F73" s="84"/>
      <c r="G73" s="85">
        <f>E73*F73</f>
        <v>0</v>
      </c>
    </row>
    <row r="74" spans="1:7" ht="15" customHeight="1">
      <c r="A74" s="100" t="s">
        <v>49</v>
      </c>
      <c r="B74" s="613" t="s">
        <v>93</v>
      </c>
      <c r="C74" s="613"/>
      <c r="D74" s="84" t="s">
        <v>91</v>
      </c>
      <c r="E74" s="84">
        <v>8</v>
      </c>
      <c r="F74" s="84">
        <v>635.1</v>
      </c>
      <c r="G74" s="85">
        <f>E74*F74</f>
        <v>5080.8</v>
      </c>
    </row>
    <row r="75" spans="1:7" ht="15" customHeight="1">
      <c r="A75" s="100" t="s">
        <v>19</v>
      </c>
      <c r="B75" s="613" t="s">
        <v>94</v>
      </c>
      <c r="C75" s="613"/>
      <c r="D75" s="84"/>
      <c r="E75" s="84"/>
      <c r="F75" s="84"/>
      <c r="G75" s="84"/>
    </row>
    <row r="76" spans="1:7" ht="15" customHeight="1">
      <c r="A76" s="100"/>
      <c r="B76" s="619" t="s">
        <v>95</v>
      </c>
      <c r="C76" s="619"/>
      <c r="D76" s="101" t="s">
        <v>96</v>
      </c>
      <c r="E76" s="101">
        <v>5</v>
      </c>
      <c r="F76" s="101"/>
      <c r="G76" s="101"/>
    </row>
    <row r="77" spans="1:7" ht="15" customHeight="1">
      <c r="A77" s="100"/>
      <c r="B77" s="619" t="s">
        <v>97</v>
      </c>
      <c r="C77" s="619"/>
      <c r="D77" s="101" t="s">
        <v>91</v>
      </c>
      <c r="E77" s="101">
        <v>16</v>
      </c>
      <c r="F77" s="101"/>
      <c r="G77" s="101"/>
    </row>
    <row r="78" spans="1:7" ht="15" customHeight="1">
      <c r="A78" s="100"/>
      <c r="B78" s="619" t="s">
        <v>98</v>
      </c>
      <c r="C78" s="619"/>
      <c r="D78" s="101" t="s">
        <v>85</v>
      </c>
      <c r="E78" s="101"/>
      <c r="F78" s="101">
        <v>16.04</v>
      </c>
      <c r="G78" s="42">
        <f>E76*E77*F78</f>
        <v>1283.1999999999998</v>
      </c>
    </row>
    <row r="79" spans="1:7" ht="15" customHeight="1">
      <c r="A79" s="100" t="s">
        <v>54</v>
      </c>
      <c r="B79" s="613" t="s">
        <v>99</v>
      </c>
      <c r="C79" s="613"/>
      <c r="D79" s="101"/>
      <c r="E79" s="101"/>
      <c r="F79" s="101"/>
      <c r="G79" s="101"/>
    </row>
    <row r="80" spans="1:7" ht="15" customHeight="1">
      <c r="A80" s="100"/>
      <c r="B80" s="619" t="s">
        <v>97</v>
      </c>
      <c r="C80" s="619"/>
      <c r="D80" s="101" t="s">
        <v>91</v>
      </c>
      <c r="E80" s="101">
        <v>8</v>
      </c>
      <c r="F80" s="101"/>
      <c r="G80" s="101"/>
    </row>
    <row r="81" spans="1:7" ht="15" customHeight="1">
      <c r="A81" s="100"/>
      <c r="B81" s="619" t="s">
        <v>100</v>
      </c>
      <c r="C81" s="619"/>
      <c r="D81" s="101" t="s">
        <v>101</v>
      </c>
      <c r="E81" s="43">
        <v>118</v>
      </c>
      <c r="F81" s="41">
        <v>1.68</v>
      </c>
      <c r="G81" s="42">
        <f>E80*E81*F81</f>
        <v>1585.9199999999998</v>
      </c>
    </row>
    <row r="82" spans="1:7" ht="15" customHeight="1">
      <c r="A82" s="100"/>
      <c r="B82" s="619" t="s">
        <v>102</v>
      </c>
      <c r="C82" s="619"/>
      <c r="D82" s="101" t="s">
        <v>91</v>
      </c>
      <c r="E82" s="41"/>
      <c r="F82" s="44">
        <f>2250.05/2</f>
        <v>1125.025</v>
      </c>
      <c r="G82" s="42">
        <f>E80*F82</f>
        <v>9000.2</v>
      </c>
    </row>
    <row r="83" spans="1:7" ht="14.25" customHeight="1">
      <c r="A83" s="620"/>
      <c r="B83" s="620"/>
      <c r="C83" s="620"/>
      <c r="D83" s="102"/>
      <c r="E83" s="102"/>
      <c r="F83" s="102"/>
      <c r="G83" s="102"/>
    </row>
    <row r="84" spans="1:7" ht="14.25">
      <c r="A84" s="620" t="s">
        <v>103</v>
      </c>
      <c r="B84" s="620"/>
      <c r="C84" s="620"/>
      <c r="D84" s="102"/>
      <c r="E84" s="102"/>
      <c r="F84" s="102"/>
      <c r="G84" s="102"/>
    </row>
    <row r="85" spans="1:7" ht="15" customHeight="1">
      <c r="A85" s="100"/>
      <c r="B85" s="619" t="s">
        <v>97</v>
      </c>
      <c r="C85" s="619"/>
      <c r="D85" s="101" t="s">
        <v>91</v>
      </c>
      <c r="E85" s="101">
        <v>24</v>
      </c>
      <c r="F85" s="101"/>
      <c r="G85" s="101"/>
    </row>
    <row r="86" spans="1:7" ht="15" customHeight="1">
      <c r="A86" s="100"/>
      <c r="B86" s="619" t="s">
        <v>104</v>
      </c>
      <c r="C86" s="619"/>
      <c r="D86" s="101" t="s">
        <v>101</v>
      </c>
      <c r="E86" s="101">
        <v>1.35</v>
      </c>
      <c r="F86" s="101">
        <v>1.68</v>
      </c>
      <c r="G86" s="103">
        <f>E85*E86*F86</f>
        <v>54.43200000000001</v>
      </c>
    </row>
    <row r="87" spans="1:7" ht="14.25" customHeight="1">
      <c r="A87" s="100"/>
      <c r="B87" s="619" t="s">
        <v>105</v>
      </c>
      <c r="C87" s="619"/>
      <c r="D87" s="101" t="s">
        <v>85</v>
      </c>
      <c r="E87" s="101"/>
      <c r="F87" s="101">
        <v>11.8</v>
      </c>
      <c r="G87" s="103">
        <f>E85*F87</f>
        <v>283.20000000000005</v>
      </c>
    </row>
    <row r="88" spans="1:7" ht="15" customHeight="1">
      <c r="A88" s="620"/>
      <c r="B88" s="620"/>
      <c r="C88" s="620"/>
      <c r="D88" s="102"/>
      <c r="E88" s="102"/>
      <c r="F88" s="102"/>
      <c r="G88" s="102"/>
    </row>
    <row r="89" spans="1:7" ht="14.25">
      <c r="A89" s="620" t="s">
        <v>106</v>
      </c>
      <c r="B89" s="620"/>
      <c r="C89" s="620"/>
      <c r="D89" s="102"/>
      <c r="E89" s="102"/>
      <c r="F89" s="102"/>
      <c r="G89" s="102"/>
    </row>
    <row r="90" spans="1:7" ht="15" customHeight="1">
      <c r="A90" s="100"/>
      <c r="B90" s="619" t="s">
        <v>97</v>
      </c>
      <c r="C90" s="619"/>
      <c r="D90" s="101" t="s">
        <v>91</v>
      </c>
      <c r="E90" s="101">
        <v>8</v>
      </c>
      <c r="F90" s="101"/>
      <c r="G90" s="101"/>
    </row>
    <row r="91" spans="1:7" ht="15" customHeight="1">
      <c r="A91" s="100"/>
      <c r="B91" s="619" t="s">
        <v>104</v>
      </c>
      <c r="C91" s="619"/>
      <c r="D91" s="101" t="s">
        <v>101</v>
      </c>
      <c r="E91" s="101">
        <v>0.5</v>
      </c>
      <c r="F91" s="101">
        <v>1.68</v>
      </c>
      <c r="G91" s="103">
        <f>E90*E91*F91</f>
        <v>6.72</v>
      </c>
    </row>
    <row r="92" spans="1:7" ht="14.25" customHeight="1">
      <c r="A92" s="100"/>
      <c r="B92" s="619" t="s">
        <v>107</v>
      </c>
      <c r="C92" s="619"/>
      <c r="D92" s="101" t="s">
        <v>85</v>
      </c>
      <c r="E92" s="101"/>
      <c r="F92" s="101">
        <v>0.6</v>
      </c>
      <c r="G92" s="103">
        <f>E90*F92</f>
        <v>4.8</v>
      </c>
    </row>
    <row r="94" spans="1:7" ht="15.75">
      <c r="A94" s="620" t="s">
        <v>208</v>
      </c>
      <c r="B94" s="620"/>
      <c r="C94" s="620"/>
      <c r="D94" s="87"/>
      <c r="E94" s="87"/>
      <c r="F94" s="89"/>
      <c r="G94" s="89"/>
    </row>
    <row r="95" spans="1:7" ht="18.75" customHeight="1">
      <c r="A95" s="93"/>
      <c r="B95" s="621"/>
      <c r="C95" s="621"/>
      <c r="D95" s="84"/>
      <c r="E95" s="84"/>
      <c r="F95" s="84"/>
      <c r="G95" s="84"/>
    </row>
    <row r="96" spans="1:7" ht="14.25">
      <c r="A96" s="93"/>
      <c r="B96" s="621"/>
      <c r="C96" s="621"/>
      <c r="D96" s="84"/>
      <c r="E96" s="84"/>
      <c r="F96" s="84"/>
      <c r="G96" s="84"/>
    </row>
    <row r="97" spans="1:7" ht="14.25">
      <c r="A97" s="93"/>
      <c r="B97" s="587"/>
      <c r="C97" s="588"/>
      <c r="D97" s="84"/>
      <c r="E97" s="94"/>
      <c r="F97" s="84"/>
      <c r="G97" s="85">
        <f>SUM(G95:G96)</f>
        <v>0</v>
      </c>
    </row>
    <row r="98" spans="1:7" ht="14.25" customHeight="1">
      <c r="A98" s="84"/>
      <c r="B98" s="587" t="s">
        <v>108</v>
      </c>
      <c r="C98" s="588"/>
      <c r="D98" s="84"/>
      <c r="E98" s="94"/>
      <c r="F98" s="84"/>
      <c r="G98" s="85">
        <f>SUM(G72:G97)</f>
        <v>20474.772000000004</v>
      </c>
    </row>
    <row r="99" spans="1:7" ht="12.75">
      <c r="A99" s="104"/>
      <c r="B99" s="104"/>
      <c r="C99" s="104"/>
      <c r="D99" s="104"/>
      <c r="E99" s="104"/>
      <c r="F99" s="104"/>
      <c r="G99" s="104"/>
    </row>
    <row r="100" ht="15" thickBot="1">
      <c r="A100" s="76" t="s">
        <v>110</v>
      </c>
    </row>
    <row r="101" spans="1:7" ht="26.25" customHeight="1">
      <c r="A101" s="96" t="s">
        <v>37</v>
      </c>
      <c r="B101" s="105" t="s">
        <v>38</v>
      </c>
      <c r="C101" s="106"/>
      <c r="D101" s="77" t="s">
        <v>39</v>
      </c>
      <c r="E101" s="78" t="s">
        <v>207</v>
      </c>
      <c r="F101" s="78" t="s">
        <v>58</v>
      </c>
      <c r="G101" s="78" t="s">
        <v>59</v>
      </c>
    </row>
    <row r="102" spans="1:7" ht="15" customHeight="1">
      <c r="A102" s="84" t="s">
        <v>9</v>
      </c>
      <c r="B102" s="613" t="s">
        <v>111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45</v>
      </c>
      <c r="B103" s="613" t="s">
        <v>112</v>
      </c>
      <c r="C103" s="613"/>
      <c r="D103" s="101" t="s">
        <v>91</v>
      </c>
      <c r="E103" s="101"/>
      <c r="F103" s="101"/>
      <c r="G103" s="84">
        <f>E103*F103</f>
        <v>0</v>
      </c>
    </row>
    <row r="104" spans="1:7" ht="15" customHeight="1">
      <c r="A104" s="84" t="s">
        <v>14</v>
      </c>
      <c r="B104" s="613" t="s">
        <v>113</v>
      </c>
      <c r="C104" s="613"/>
      <c r="D104" s="101" t="s">
        <v>91</v>
      </c>
      <c r="E104" s="101"/>
      <c r="F104" s="101"/>
      <c r="G104" s="84">
        <f>E104*F104</f>
        <v>0</v>
      </c>
    </row>
    <row r="105" spans="1:7" ht="15" customHeight="1">
      <c r="A105" s="84" t="s">
        <v>49</v>
      </c>
      <c r="B105" s="613" t="s">
        <v>94</v>
      </c>
      <c r="C105" s="613"/>
      <c r="D105" s="101"/>
      <c r="E105" s="101"/>
      <c r="F105" s="101"/>
      <c r="G105" s="101"/>
    </row>
    <row r="106" spans="1:7" ht="15" customHeight="1">
      <c r="A106" s="84"/>
      <c r="B106" s="619" t="s">
        <v>95</v>
      </c>
      <c r="C106" s="619"/>
      <c r="D106" s="101" t="s">
        <v>96</v>
      </c>
      <c r="E106" s="101">
        <v>1</v>
      </c>
      <c r="F106" s="101"/>
      <c r="G106" s="101"/>
    </row>
    <row r="107" spans="1:7" ht="15" customHeight="1">
      <c r="A107" s="84"/>
      <c r="B107" s="619" t="s">
        <v>97</v>
      </c>
      <c r="C107" s="619"/>
      <c r="D107" s="101" t="s">
        <v>91</v>
      </c>
      <c r="E107" s="101">
        <v>24</v>
      </c>
      <c r="F107" s="101"/>
      <c r="G107" s="101"/>
    </row>
    <row r="108" spans="1:7" ht="15" customHeight="1">
      <c r="A108" s="84"/>
      <c r="B108" s="619" t="s">
        <v>114</v>
      </c>
      <c r="C108" s="619"/>
      <c r="D108" s="101" t="s">
        <v>85</v>
      </c>
      <c r="E108" s="101"/>
      <c r="F108" s="101">
        <v>16.04</v>
      </c>
      <c r="G108" s="103">
        <f>E106*E107*F108</f>
        <v>384.96</v>
      </c>
    </row>
    <row r="109" spans="1:7" ht="15" customHeight="1">
      <c r="A109" s="84" t="s">
        <v>19</v>
      </c>
      <c r="B109" s="630" t="s">
        <v>115</v>
      </c>
      <c r="C109" s="630"/>
      <c r="D109" s="101"/>
      <c r="E109" s="101"/>
      <c r="F109" s="101"/>
      <c r="G109" s="101"/>
    </row>
    <row r="110" spans="1:7" ht="15" customHeight="1">
      <c r="A110" s="84"/>
      <c r="B110" s="619" t="s">
        <v>116</v>
      </c>
      <c r="C110" s="619"/>
      <c r="D110" s="101" t="s">
        <v>117</v>
      </c>
      <c r="E110" s="101">
        <v>2</v>
      </c>
      <c r="F110" s="101"/>
      <c r="G110" s="101"/>
    </row>
    <row r="111" spans="1:7" ht="15" customHeight="1">
      <c r="A111" s="84"/>
      <c r="B111" s="619" t="s">
        <v>118</v>
      </c>
      <c r="C111" s="619"/>
      <c r="D111" s="101" t="s">
        <v>85</v>
      </c>
      <c r="E111" s="101">
        <v>10</v>
      </c>
      <c r="F111" s="107">
        <f>(14249.86+97346.65)/73/12/193*0.67</f>
        <v>0.442246088556084</v>
      </c>
      <c r="G111" s="103">
        <f>E110*E111*F111</f>
        <v>8.84492177112168</v>
      </c>
    </row>
    <row r="112" spans="1:7" ht="15" customHeight="1">
      <c r="A112" s="84" t="s">
        <v>54</v>
      </c>
      <c r="B112" s="630" t="s">
        <v>119</v>
      </c>
      <c r="C112" s="630"/>
      <c r="D112" s="101"/>
      <c r="E112" s="101"/>
      <c r="F112" s="101"/>
      <c r="G112" s="101"/>
    </row>
    <row r="113" spans="1:7" ht="15" customHeight="1">
      <c r="A113" s="84"/>
      <c r="B113" s="619" t="s">
        <v>120</v>
      </c>
      <c r="C113" s="619"/>
      <c r="D113" s="101" t="s">
        <v>117</v>
      </c>
      <c r="E113" s="101"/>
      <c r="F113" s="101"/>
      <c r="G113" s="101"/>
    </row>
    <row r="114" spans="1:7" ht="15" customHeight="1">
      <c r="A114" s="84"/>
      <c r="B114" s="619" t="s">
        <v>121</v>
      </c>
      <c r="C114" s="619"/>
      <c r="D114" s="101" t="s">
        <v>85</v>
      </c>
      <c r="E114" s="101"/>
      <c r="F114" s="101"/>
      <c r="G114" s="101">
        <f>E113*E114*F114</f>
        <v>0</v>
      </c>
    </row>
    <row r="115" spans="1:7" ht="15" customHeight="1">
      <c r="A115" s="84" t="s">
        <v>22</v>
      </c>
      <c r="B115" s="630" t="s">
        <v>99</v>
      </c>
      <c r="C115" s="630"/>
      <c r="D115" s="101"/>
      <c r="E115" s="101"/>
      <c r="F115" s="101"/>
      <c r="G115" s="101"/>
    </row>
    <row r="116" spans="1:7" ht="15" customHeight="1">
      <c r="A116" s="84"/>
      <c r="B116" s="619" t="s">
        <v>97</v>
      </c>
      <c r="C116" s="619"/>
      <c r="D116" s="101" t="s">
        <v>91</v>
      </c>
      <c r="E116" s="101">
        <v>8</v>
      </c>
      <c r="F116" s="101"/>
      <c r="G116" s="101"/>
    </row>
    <row r="117" spans="1:7" ht="15" customHeight="1">
      <c r="A117" s="84"/>
      <c r="B117" s="619" t="s">
        <v>102</v>
      </c>
      <c r="C117" s="619"/>
      <c r="D117" s="101" t="s">
        <v>85</v>
      </c>
      <c r="E117" s="101"/>
      <c r="F117" s="101">
        <v>3.71</v>
      </c>
      <c r="G117" s="103">
        <f>E116*F117</f>
        <v>29.68</v>
      </c>
    </row>
    <row r="118" spans="1:7" ht="14.25" customHeight="1">
      <c r="A118" s="84" t="s">
        <v>72</v>
      </c>
      <c r="B118" s="613" t="s">
        <v>122</v>
      </c>
      <c r="C118" s="613"/>
      <c r="D118" s="101" t="s">
        <v>91</v>
      </c>
      <c r="E118" s="101"/>
      <c r="F118" s="101"/>
      <c r="G118" s="101">
        <f>E118*F118</f>
        <v>0</v>
      </c>
    </row>
    <row r="119" spans="1:7" ht="14.25" customHeight="1">
      <c r="A119" s="84"/>
      <c r="B119" s="587" t="s">
        <v>123</v>
      </c>
      <c r="C119" s="588"/>
      <c r="D119" s="84"/>
      <c r="E119" s="94"/>
      <c r="F119" s="84"/>
      <c r="G119" s="85">
        <f>SUM(G102:G118)</f>
        <v>423.48492177112166</v>
      </c>
    </row>
    <row r="120" ht="14.25">
      <c r="A120" s="67"/>
    </row>
    <row r="121" ht="14.25">
      <c r="A121" s="76" t="s">
        <v>124</v>
      </c>
    </row>
    <row r="122" ht="15" thickBot="1">
      <c r="A122" s="76"/>
    </row>
    <row r="123" spans="1:9" ht="29.25" customHeight="1">
      <c r="A123" s="96" t="s">
        <v>37</v>
      </c>
      <c r="B123" s="105" t="s">
        <v>38</v>
      </c>
      <c r="C123" s="106"/>
      <c r="D123" s="77" t="s">
        <v>39</v>
      </c>
      <c r="E123" s="108" t="s">
        <v>207</v>
      </c>
      <c r="F123" s="78" t="s">
        <v>58</v>
      </c>
      <c r="G123" s="78" t="s">
        <v>59</v>
      </c>
      <c r="H123" s="109"/>
      <c r="I123" s="110"/>
    </row>
    <row r="124" spans="1:9" ht="15" customHeight="1">
      <c r="A124" s="84" t="s">
        <v>9</v>
      </c>
      <c r="B124" s="613" t="s">
        <v>125</v>
      </c>
      <c r="C124" s="613"/>
      <c r="D124" s="101" t="s">
        <v>96</v>
      </c>
      <c r="E124" s="101">
        <v>1</v>
      </c>
      <c r="F124" s="101"/>
      <c r="G124" s="101"/>
      <c r="H124" s="89"/>
      <c r="I124" s="110"/>
    </row>
    <row r="125" spans="1:9" ht="15" customHeight="1">
      <c r="A125" s="84" t="s">
        <v>45</v>
      </c>
      <c r="B125" s="613" t="s">
        <v>126</v>
      </c>
      <c r="C125" s="613"/>
      <c r="D125" s="101" t="s">
        <v>127</v>
      </c>
      <c r="E125" s="101">
        <v>100</v>
      </c>
      <c r="F125" s="101"/>
      <c r="G125" s="101"/>
      <c r="H125" s="89"/>
      <c r="I125" s="110"/>
    </row>
    <row r="126" spans="1:9" ht="26.25" customHeight="1">
      <c r="A126" s="84" t="s">
        <v>14</v>
      </c>
      <c r="B126" s="613" t="s">
        <v>128</v>
      </c>
      <c r="C126" s="613"/>
      <c r="D126" s="101" t="s">
        <v>129</v>
      </c>
      <c r="E126" s="101">
        <v>8</v>
      </c>
      <c r="F126" s="44">
        <f>1880.95/722.42</f>
        <v>2.6036793001301186</v>
      </c>
      <c r="G126" s="103">
        <f>E124*E126*F126</f>
        <v>20.82943440104095</v>
      </c>
      <c r="H126" s="89"/>
      <c r="I126" s="110"/>
    </row>
    <row r="127" spans="1:9" ht="14.25" customHeight="1">
      <c r="A127" s="84" t="s">
        <v>49</v>
      </c>
      <c r="B127" s="613" t="s">
        <v>130</v>
      </c>
      <c r="C127" s="613"/>
      <c r="D127" s="101" t="s">
        <v>131</v>
      </c>
      <c r="E127" s="101"/>
      <c r="F127" s="101"/>
      <c r="G127" s="101"/>
      <c r="H127" s="89"/>
      <c r="I127" s="110"/>
    </row>
    <row r="128" spans="1:9" ht="15" customHeight="1">
      <c r="A128" s="84"/>
      <c r="B128" s="613" t="s">
        <v>132</v>
      </c>
      <c r="C128" s="613"/>
      <c r="D128" s="101" t="s">
        <v>131</v>
      </c>
      <c r="E128" s="101"/>
      <c r="F128" s="101"/>
      <c r="G128" s="101">
        <f>E128*F128</f>
        <v>0</v>
      </c>
      <c r="H128" s="89"/>
      <c r="I128" s="110"/>
    </row>
    <row r="129" spans="1:9" ht="15">
      <c r="A129" s="84"/>
      <c r="B129" s="613" t="s">
        <v>133</v>
      </c>
      <c r="C129" s="613"/>
      <c r="D129" s="101" t="s">
        <v>131</v>
      </c>
      <c r="E129" s="111">
        <f>6.6/100*E125</f>
        <v>6.6000000000000005</v>
      </c>
      <c r="F129" s="111">
        <v>15.22</v>
      </c>
      <c r="G129" s="103">
        <f>E129*F129</f>
        <v>100.45200000000001</v>
      </c>
      <c r="H129" s="89"/>
      <c r="I129" s="110"/>
    </row>
    <row r="130" spans="1:9" ht="15">
      <c r="A130" s="84"/>
      <c r="B130" s="613" t="s">
        <v>134</v>
      </c>
      <c r="C130" s="613"/>
      <c r="D130" s="101" t="s">
        <v>131</v>
      </c>
      <c r="E130" s="101"/>
      <c r="F130" s="101"/>
      <c r="G130" s="101">
        <f>E130*F130</f>
        <v>0</v>
      </c>
      <c r="H130" s="89"/>
      <c r="I130" s="110"/>
    </row>
    <row r="131" spans="1:9" ht="15">
      <c r="A131" s="84"/>
      <c r="B131" s="587" t="s">
        <v>135</v>
      </c>
      <c r="C131" s="588"/>
      <c r="D131" s="84"/>
      <c r="E131" s="94"/>
      <c r="F131" s="84"/>
      <c r="G131" s="85">
        <f>SUM(G124:G130)</f>
        <v>121.28143440104097</v>
      </c>
      <c r="H131" s="89"/>
      <c r="I131" s="110"/>
    </row>
    <row r="132" spans="1:9" ht="12.75">
      <c r="A132" s="104"/>
      <c r="B132" s="104"/>
      <c r="C132" s="104"/>
      <c r="D132" s="104"/>
      <c r="E132" s="104"/>
      <c r="F132" s="104"/>
      <c r="G132" s="104"/>
      <c r="H132" s="104"/>
      <c r="I132" s="104"/>
    </row>
    <row r="133" ht="15" thickBot="1">
      <c r="A133" s="76" t="s">
        <v>136</v>
      </c>
    </row>
    <row r="134" spans="1:7" ht="28.5" customHeight="1">
      <c r="A134" s="96" t="s">
        <v>37</v>
      </c>
      <c r="B134" s="105" t="s">
        <v>38</v>
      </c>
      <c r="C134" s="106"/>
      <c r="D134" s="78" t="s">
        <v>39</v>
      </c>
      <c r="E134" s="78" t="s">
        <v>207</v>
      </c>
      <c r="F134" s="78" t="s">
        <v>58</v>
      </c>
      <c r="G134" s="78" t="s">
        <v>59</v>
      </c>
    </row>
    <row r="135" spans="1:7" ht="14.25" customHeight="1">
      <c r="A135" s="84" t="s">
        <v>9</v>
      </c>
      <c r="B135" s="613" t="s">
        <v>137</v>
      </c>
      <c r="C135" s="613"/>
      <c r="D135" s="84" t="s">
        <v>138</v>
      </c>
      <c r="E135" s="101"/>
      <c r="F135" s="101"/>
      <c r="G135" s="101"/>
    </row>
    <row r="136" spans="1:7" ht="14.25" customHeight="1">
      <c r="A136" s="84" t="s">
        <v>45</v>
      </c>
      <c r="B136" s="613" t="s">
        <v>139</v>
      </c>
      <c r="C136" s="613"/>
      <c r="D136" s="622"/>
      <c r="E136" s="622"/>
      <c r="F136" s="622"/>
      <c r="G136" s="622"/>
    </row>
    <row r="137" spans="1:7" ht="14.25" customHeight="1">
      <c r="A137" s="84" t="s">
        <v>14</v>
      </c>
      <c r="B137" s="613" t="s">
        <v>140</v>
      </c>
      <c r="C137" s="613"/>
      <c r="D137" s="622"/>
      <c r="E137" s="622"/>
      <c r="F137" s="622"/>
      <c r="G137" s="622"/>
    </row>
    <row r="138" spans="1:7" ht="15" customHeight="1">
      <c r="A138" s="84" t="s">
        <v>49</v>
      </c>
      <c r="B138" s="613" t="s">
        <v>141</v>
      </c>
      <c r="C138" s="613"/>
      <c r="D138" s="84" t="s">
        <v>138</v>
      </c>
      <c r="E138" s="101"/>
      <c r="F138" s="101"/>
      <c r="G138" s="103">
        <f>E138*F138*E135</f>
        <v>0</v>
      </c>
    </row>
    <row r="139" spans="1:7" ht="15" customHeight="1">
      <c r="A139" s="84" t="s">
        <v>19</v>
      </c>
      <c r="B139" s="613" t="s">
        <v>142</v>
      </c>
      <c r="C139" s="613"/>
      <c r="D139" s="84" t="s">
        <v>138</v>
      </c>
      <c r="E139" s="101"/>
      <c r="F139" s="101"/>
      <c r="G139" s="101">
        <f>E139*F139*E135</f>
        <v>0</v>
      </c>
    </row>
    <row r="140" spans="1:7" ht="15" customHeight="1">
      <c r="A140" s="84" t="s">
        <v>54</v>
      </c>
      <c r="B140" s="613" t="s">
        <v>143</v>
      </c>
      <c r="C140" s="613"/>
      <c r="D140" s="84" t="s">
        <v>85</v>
      </c>
      <c r="E140" s="101"/>
      <c r="F140" s="101"/>
      <c r="G140" s="101">
        <f>E135*F140</f>
        <v>0</v>
      </c>
    </row>
    <row r="141" spans="1:7" ht="15" customHeight="1">
      <c r="A141" s="84" t="s">
        <v>22</v>
      </c>
      <c r="B141" s="613" t="s">
        <v>144</v>
      </c>
      <c r="C141" s="613"/>
      <c r="D141" s="84" t="s">
        <v>85</v>
      </c>
      <c r="E141" s="101"/>
      <c r="F141" s="101"/>
      <c r="G141" s="101">
        <f>E135*F141</f>
        <v>0</v>
      </c>
    </row>
    <row r="142" spans="1:7" ht="15" customHeight="1">
      <c r="A142" s="84" t="s">
        <v>72</v>
      </c>
      <c r="B142" s="613" t="s">
        <v>145</v>
      </c>
      <c r="C142" s="613"/>
      <c r="D142" s="84" t="s">
        <v>85</v>
      </c>
      <c r="E142" s="101"/>
      <c r="F142" s="101"/>
      <c r="G142" s="101">
        <f>E135*F142</f>
        <v>0</v>
      </c>
    </row>
    <row r="143" spans="1:7" ht="15" customHeight="1">
      <c r="A143" s="84" t="s">
        <v>26</v>
      </c>
      <c r="B143" s="613" t="s">
        <v>146</v>
      </c>
      <c r="C143" s="613"/>
      <c r="D143" s="84" t="s">
        <v>85</v>
      </c>
      <c r="E143" s="101"/>
      <c r="F143" s="101"/>
      <c r="G143" s="101">
        <f>F143</f>
        <v>0</v>
      </c>
    </row>
    <row r="144" spans="1:7" ht="14.25">
      <c r="A144" s="84"/>
      <c r="B144" s="587" t="s">
        <v>147</v>
      </c>
      <c r="C144" s="588"/>
      <c r="D144" s="84"/>
      <c r="E144" s="94"/>
      <c r="F144" s="84"/>
      <c r="G144" s="85">
        <f>SUM(G138:G143)</f>
        <v>0</v>
      </c>
    </row>
    <row r="145" ht="14.25">
      <c r="A145" s="67"/>
    </row>
    <row r="146" ht="14.25">
      <c r="A146" s="67"/>
    </row>
    <row r="147" ht="14.25">
      <c r="A147" s="67"/>
    </row>
    <row r="148" ht="14.25">
      <c r="A148" s="67"/>
    </row>
    <row r="149" ht="14.25">
      <c r="A149" s="67"/>
    </row>
    <row r="150" ht="14.25">
      <c r="A150" s="76" t="s">
        <v>148</v>
      </c>
    </row>
    <row r="151" ht="15" thickBot="1">
      <c r="A151" s="76"/>
    </row>
    <row r="152" spans="1:7" ht="28.5" customHeight="1">
      <c r="A152" s="96" t="s">
        <v>37</v>
      </c>
      <c r="B152" s="598" t="s">
        <v>38</v>
      </c>
      <c r="C152" s="599"/>
      <c r="D152" s="77" t="s">
        <v>39</v>
      </c>
      <c r="E152" s="78" t="s">
        <v>207</v>
      </c>
      <c r="F152" s="78" t="s">
        <v>58</v>
      </c>
      <c r="G152" s="78" t="s">
        <v>59</v>
      </c>
    </row>
    <row r="153" spans="1:7" ht="14.25" customHeight="1">
      <c r="A153" s="84" t="s">
        <v>9</v>
      </c>
      <c r="B153" s="613" t="s">
        <v>149</v>
      </c>
      <c r="C153" s="613"/>
      <c r="D153" s="84" t="s">
        <v>85</v>
      </c>
      <c r="E153" s="101"/>
      <c r="F153" s="101"/>
      <c r="G153" s="101">
        <v>100</v>
      </c>
    </row>
    <row r="154" spans="1:7" ht="14.25" customHeight="1">
      <c r="A154" s="84" t="s">
        <v>45</v>
      </c>
      <c r="B154" s="613" t="s">
        <v>150</v>
      </c>
      <c r="C154" s="613"/>
      <c r="D154" s="84" t="s">
        <v>85</v>
      </c>
      <c r="E154" s="101"/>
      <c r="F154" s="101"/>
      <c r="G154" s="101">
        <v>50</v>
      </c>
    </row>
    <row r="155" spans="1:7" ht="15" customHeight="1">
      <c r="A155" s="84" t="s">
        <v>14</v>
      </c>
      <c r="B155" s="613" t="s">
        <v>305</v>
      </c>
      <c r="C155" s="613"/>
      <c r="D155" s="84" t="s">
        <v>96</v>
      </c>
      <c r="E155" s="238">
        <f>40/24</f>
        <v>1.6666666666666667</v>
      </c>
      <c r="F155" s="101">
        <v>271.78</v>
      </c>
      <c r="G155" s="103">
        <f>E155*F155</f>
        <v>452.96666666666664</v>
      </c>
    </row>
    <row r="156" spans="1:7" ht="14.25">
      <c r="A156" s="84" t="s">
        <v>49</v>
      </c>
      <c r="B156" s="613" t="s">
        <v>385</v>
      </c>
      <c r="C156" s="613"/>
      <c r="D156" s="84" t="s">
        <v>96</v>
      </c>
      <c r="E156" s="238">
        <f>24/24</f>
        <v>1</v>
      </c>
      <c r="F156" s="101">
        <v>14</v>
      </c>
      <c r="G156" s="103">
        <f>E156*F156</f>
        <v>14</v>
      </c>
    </row>
    <row r="157" spans="1:7" ht="15" customHeight="1">
      <c r="A157" s="84" t="s">
        <v>19</v>
      </c>
      <c r="B157" s="613" t="s">
        <v>153</v>
      </c>
      <c r="C157" s="613"/>
      <c r="D157" s="84"/>
      <c r="E157" s="101"/>
      <c r="F157" s="101"/>
      <c r="G157" s="101"/>
    </row>
    <row r="158" spans="1:7" ht="15" customHeight="1">
      <c r="A158" s="84" t="s">
        <v>54</v>
      </c>
      <c r="B158" s="613" t="s">
        <v>154</v>
      </c>
      <c r="C158" s="613"/>
      <c r="D158" s="84" t="s">
        <v>85</v>
      </c>
      <c r="E158" s="101"/>
      <c r="F158" s="101"/>
      <c r="G158" s="101"/>
    </row>
    <row r="159" spans="1:7" ht="15" customHeight="1">
      <c r="A159" s="84" t="s">
        <v>22</v>
      </c>
      <c r="B159" s="613" t="s">
        <v>155</v>
      </c>
      <c r="C159" s="613"/>
      <c r="D159" s="84" t="s">
        <v>85</v>
      </c>
      <c r="E159" s="101"/>
      <c r="F159" s="101"/>
      <c r="G159" s="101"/>
    </row>
    <row r="160" spans="1:7" ht="15" customHeight="1">
      <c r="A160" s="84" t="s">
        <v>72</v>
      </c>
      <c r="B160" s="613" t="s">
        <v>156</v>
      </c>
      <c r="C160" s="613"/>
      <c r="D160" s="84"/>
      <c r="E160" s="101"/>
      <c r="F160" s="101"/>
      <c r="G160" s="101"/>
    </row>
    <row r="161" spans="1:7" ht="17.25" customHeight="1">
      <c r="A161" s="84" t="s">
        <v>26</v>
      </c>
      <c r="B161" s="613" t="s">
        <v>157</v>
      </c>
      <c r="C161" s="613"/>
      <c r="D161" s="84" t="s">
        <v>85</v>
      </c>
      <c r="E161" s="101"/>
      <c r="F161" s="101"/>
      <c r="G161" s="101"/>
    </row>
    <row r="162" spans="1:7" ht="15" customHeight="1">
      <c r="A162" s="84"/>
      <c r="B162" s="587" t="s">
        <v>158</v>
      </c>
      <c r="C162" s="588"/>
      <c r="D162" s="84"/>
      <c r="E162" s="94"/>
      <c r="F162" s="84"/>
      <c r="G162" s="85">
        <f>SUM(G153:G161)</f>
        <v>616.9666666666667</v>
      </c>
    </row>
    <row r="163" ht="14.25">
      <c r="A163" s="67"/>
    </row>
    <row r="164" ht="14.25">
      <c r="A164" s="76" t="s">
        <v>159</v>
      </c>
    </row>
    <row r="165" ht="15" thickBot="1">
      <c r="A165" s="76"/>
    </row>
    <row r="166" spans="1:7" ht="28.5" customHeight="1">
      <c r="A166" s="623" t="s">
        <v>37</v>
      </c>
      <c r="B166" s="598" t="s">
        <v>38</v>
      </c>
      <c r="C166" s="599"/>
      <c r="D166" s="77" t="s">
        <v>39</v>
      </c>
      <c r="E166" s="78" t="s">
        <v>207</v>
      </c>
      <c r="F166" s="78" t="s">
        <v>58</v>
      </c>
      <c r="G166" s="78" t="s">
        <v>59</v>
      </c>
    </row>
    <row r="167" spans="1:7" ht="15" customHeight="1">
      <c r="A167" s="624"/>
      <c r="B167" s="600"/>
      <c r="C167" s="612"/>
      <c r="D167" s="112"/>
      <c r="E167" s="113"/>
      <c r="F167" s="113"/>
      <c r="G167" s="113"/>
    </row>
    <row r="168" spans="1:7" ht="15" customHeight="1">
      <c r="A168" s="84" t="s">
        <v>9</v>
      </c>
      <c r="B168" s="622" t="s">
        <v>160</v>
      </c>
      <c r="C168" s="622"/>
      <c r="D168" s="84" t="s">
        <v>85</v>
      </c>
      <c r="E168" s="84"/>
      <c r="F168" s="84"/>
      <c r="G168" s="84">
        <f>E168*F168</f>
        <v>0</v>
      </c>
    </row>
    <row r="169" spans="1:7" ht="15" customHeight="1">
      <c r="A169" s="84"/>
      <c r="B169" s="618"/>
      <c r="C169" s="618"/>
      <c r="D169" s="84"/>
      <c r="E169" s="84"/>
      <c r="F169" s="84"/>
      <c r="G169" s="84"/>
    </row>
    <row r="170" spans="1:7" ht="15" customHeight="1">
      <c r="A170" s="84"/>
      <c r="B170" s="587" t="s">
        <v>161</v>
      </c>
      <c r="C170" s="588"/>
      <c r="D170" s="84"/>
      <c r="E170" s="84"/>
      <c r="F170" s="84"/>
      <c r="G170" s="84">
        <f>SUM(G168:G169)</f>
        <v>0</v>
      </c>
    </row>
    <row r="171" ht="15" customHeight="1">
      <c r="A171" s="67"/>
    </row>
    <row r="172" ht="14.25">
      <c r="A172" s="76" t="s">
        <v>162</v>
      </c>
    </row>
    <row r="173" ht="15" thickBot="1">
      <c r="A173" s="76"/>
    </row>
    <row r="174" spans="1:7" ht="28.5" customHeight="1">
      <c r="A174" s="96" t="s">
        <v>37</v>
      </c>
      <c r="B174" s="598" t="s">
        <v>38</v>
      </c>
      <c r="C174" s="599"/>
      <c r="D174" s="77" t="s">
        <v>39</v>
      </c>
      <c r="E174" s="78" t="s">
        <v>207</v>
      </c>
      <c r="F174" s="78" t="s">
        <v>58</v>
      </c>
      <c r="G174" s="78" t="s">
        <v>59</v>
      </c>
    </row>
    <row r="175" spans="1:7" ht="14.25" customHeight="1">
      <c r="A175" s="84" t="s">
        <v>9</v>
      </c>
      <c r="B175" s="613" t="s">
        <v>163</v>
      </c>
      <c r="C175" s="613"/>
      <c r="D175" s="84"/>
      <c r="E175" s="84"/>
      <c r="F175" s="84"/>
      <c r="G175" s="84"/>
    </row>
    <row r="176" spans="1:7" ht="14.25" customHeight="1">
      <c r="A176" s="84"/>
      <c r="B176" s="613" t="s">
        <v>164</v>
      </c>
      <c r="C176" s="613"/>
      <c r="D176" s="84" t="s">
        <v>165</v>
      </c>
      <c r="E176" s="101" t="s">
        <v>169</v>
      </c>
      <c r="F176" s="101">
        <v>77</v>
      </c>
      <c r="G176" s="101">
        <f>3*F176</f>
        <v>231</v>
      </c>
    </row>
    <row r="177" spans="1:7" ht="14.25" customHeight="1">
      <c r="A177" s="84"/>
      <c r="B177" s="613" t="s">
        <v>167</v>
      </c>
      <c r="C177" s="613"/>
      <c r="D177" s="84" t="s">
        <v>165</v>
      </c>
      <c r="E177" s="101"/>
      <c r="F177" s="101"/>
      <c r="G177" s="101">
        <f>3*F177</f>
        <v>0</v>
      </c>
    </row>
    <row r="178" spans="1:7" ht="14.25" customHeight="1">
      <c r="A178" s="84"/>
      <c r="B178" s="613" t="s">
        <v>168</v>
      </c>
      <c r="C178" s="613"/>
      <c r="D178" s="84" t="s">
        <v>165</v>
      </c>
      <c r="E178" s="101" t="s">
        <v>232</v>
      </c>
      <c r="F178" s="101">
        <v>49</v>
      </c>
      <c r="G178" s="101">
        <f>10*F178</f>
        <v>490</v>
      </c>
    </row>
    <row r="179" spans="1:7" ht="29.25" customHeight="1">
      <c r="A179" s="84" t="s">
        <v>45</v>
      </c>
      <c r="B179" s="613" t="s">
        <v>170</v>
      </c>
      <c r="C179" s="613"/>
      <c r="D179" s="84" t="s">
        <v>165</v>
      </c>
      <c r="E179" s="101"/>
      <c r="F179" s="101"/>
      <c r="G179" s="101">
        <f aca="true" t="shared" si="2" ref="G179:G185">E179*F179</f>
        <v>0</v>
      </c>
    </row>
    <row r="180" spans="1:7" ht="15" customHeight="1">
      <c r="A180" s="84" t="s">
        <v>14</v>
      </c>
      <c r="B180" s="613" t="s">
        <v>171</v>
      </c>
      <c r="C180" s="613"/>
      <c r="D180" s="84" t="s">
        <v>85</v>
      </c>
      <c r="E180" s="101"/>
      <c r="F180" s="101"/>
      <c r="G180" s="101">
        <f t="shared" si="2"/>
        <v>0</v>
      </c>
    </row>
    <row r="181" spans="1:9" ht="15" customHeight="1">
      <c r="A181" s="84" t="s">
        <v>49</v>
      </c>
      <c r="B181" s="613" t="s">
        <v>172</v>
      </c>
      <c r="C181" s="613"/>
      <c r="D181" s="84" t="s">
        <v>91</v>
      </c>
      <c r="E181" s="101"/>
      <c r="F181" s="160"/>
      <c r="G181" s="156"/>
      <c r="H181" s="119"/>
      <c r="I181" s="119"/>
    </row>
    <row r="182" spans="1:7" ht="15" customHeight="1">
      <c r="A182" s="84" t="s">
        <v>19</v>
      </c>
      <c r="B182" s="613" t="s">
        <v>174</v>
      </c>
      <c r="C182" s="613"/>
      <c r="D182" s="84" t="s">
        <v>43</v>
      </c>
      <c r="E182" s="101">
        <v>2.5</v>
      </c>
      <c r="F182" s="107">
        <f>(F50+F56)*1.265/2</f>
        <v>39.15835820895522</v>
      </c>
      <c r="G182" s="156">
        <f t="shared" si="2"/>
        <v>97.89589552238806</v>
      </c>
    </row>
    <row r="183" spans="1:9" ht="14.25" customHeight="1">
      <c r="A183" s="84" t="s">
        <v>54</v>
      </c>
      <c r="B183" s="613" t="s">
        <v>175</v>
      </c>
      <c r="C183" s="613"/>
      <c r="D183" s="84" t="s">
        <v>43</v>
      </c>
      <c r="E183" s="235" t="s">
        <v>166</v>
      </c>
      <c r="F183" s="322">
        <f>16900*1.265/210</f>
        <v>101.80238095238096</v>
      </c>
      <c r="G183" s="290">
        <f>1/60*F183</f>
        <v>1.6967063492063492</v>
      </c>
      <c r="H183" s="243"/>
      <c r="I183" s="325" t="s">
        <v>509</v>
      </c>
    </row>
    <row r="184" spans="1:7" ht="14.25" customHeight="1">
      <c r="A184" s="84" t="s">
        <v>22</v>
      </c>
      <c r="B184" s="613" t="s">
        <v>176</v>
      </c>
      <c r="C184" s="613"/>
      <c r="D184" s="84" t="s">
        <v>43</v>
      </c>
      <c r="E184" s="101"/>
      <c r="F184" s="101"/>
      <c r="G184" s="101">
        <f t="shared" si="2"/>
        <v>0</v>
      </c>
    </row>
    <row r="185" spans="1:7" ht="15" customHeight="1">
      <c r="A185" s="84" t="s">
        <v>72</v>
      </c>
      <c r="B185" s="613" t="s">
        <v>209</v>
      </c>
      <c r="C185" s="613"/>
      <c r="D185" s="84" t="s">
        <v>85</v>
      </c>
      <c r="E185" s="101"/>
      <c r="F185" s="101"/>
      <c r="G185" s="101">
        <f t="shared" si="2"/>
        <v>0</v>
      </c>
    </row>
    <row r="186" spans="1:7" ht="15" customHeight="1">
      <c r="A186" s="84"/>
      <c r="B186" s="587" t="s">
        <v>177</v>
      </c>
      <c r="C186" s="588"/>
      <c r="D186" s="84"/>
      <c r="E186" s="84"/>
      <c r="F186" s="84"/>
      <c r="G186" s="85">
        <f>SUM(G176:G185)</f>
        <v>820.5926018715944</v>
      </c>
    </row>
    <row r="187" ht="13.5" customHeight="1">
      <c r="A187" s="67"/>
    </row>
    <row r="188" ht="14.25">
      <c r="A188" s="76" t="s">
        <v>178</v>
      </c>
    </row>
    <row r="189" ht="15" thickBot="1">
      <c r="A189" s="76"/>
    </row>
    <row r="190" spans="1:7" ht="28.5" customHeight="1">
      <c r="A190" s="96" t="s">
        <v>37</v>
      </c>
      <c r="B190" s="598" t="s">
        <v>38</v>
      </c>
      <c r="C190" s="599"/>
      <c r="D190" s="77" t="s">
        <v>39</v>
      </c>
      <c r="E190" s="78" t="s">
        <v>207</v>
      </c>
      <c r="F190" s="78" t="s">
        <v>58</v>
      </c>
      <c r="G190" s="78" t="s">
        <v>59</v>
      </c>
    </row>
    <row r="191" spans="1:7" ht="15" customHeight="1">
      <c r="A191" s="84" t="s">
        <v>9</v>
      </c>
      <c r="B191" s="613" t="s">
        <v>179</v>
      </c>
      <c r="C191" s="613"/>
      <c r="D191" s="84" t="s">
        <v>180</v>
      </c>
      <c r="E191" s="101"/>
      <c r="F191" s="101"/>
      <c r="G191" s="101">
        <f>E191*F191</f>
        <v>0</v>
      </c>
    </row>
    <row r="192" spans="1:7" ht="15" customHeight="1">
      <c r="A192" s="84" t="s">
        <v>45</v>
      </c>
      <c r="B192" s="613" t="s">
        <v>181</v>
      </c>
      <c r="C192" s="613"/>
      <c r="D192" s="84" t="s">
        <v>180</v>
      </c>
      <c r="E192" s="101"/>
      <c r="F192" s="101"/>
      <c r="G192" s="101">
        <f>E192*F192</f>
        <v>0</v>
      </c>
    </row>
    <row r="193" spans="1:7" ht="15" customHeight="1">
      <c r="A193" s="84" t="s">
        <v>14</v>
      </c>
      <c r="B193" s="613" t="s">
        <v>182</v>
      </c>
      <c r="C193" s="613"/>
      <c r="D193" s="84" t="s">
        <v>180</v>
      </c>
      <c r="E193" s="101"/>
      <c r="F193" s="101"/>
      <c r="G193" s="101">
        <f>E193*F193</f>
        <v>0</v>
      </c>
    </row>
    <row r="194" spans="1:7" ht="15" customHeight="1">
      <c r="A194" s="84"/>
      <c r="B194" s="587" t="s">
        <v>183</v>
      </c>
      <c r="C194" s="588"/>
      <c r="D194" s="84"/>
      <c r="E194" s="84"/>
      <c r="F194" s="84"/>
      <c r="G194" s="85">
        <f>SUM(G191:G193)</f>
        <v>0</v>
      </c>
    </row>
    <row r="195" ht="14.25">
      <c r="A195" s="67"/>
    </row>
    <row r="196" ht="14.25">
      <c r="A196" s="67"/>
    </row>
    <row r="197" ht="14.25">
      <c r="A197" s="67"/>
    </row>
    <row r="198" ht="14.25">
      <c r="A198" s="67"/>
    </row>
    <row r="199" ht="14.25">
      <c r="A199" s="67"/>
    </row>
    <row r="200" ht="14.25">
      <c r="A200" s="67" t="s">
        <v>184</v>
      </c>
    </row>
    <row r="201" ht="15" thickBot="1">
      <c r="A201" s="67"/>
    </row>
    <row r="202" spans="1:7" ht="28.5" customHeight="1">
      <c r="A202" s="96" t="s">
        <v>37</v>
      </c>
      <c r="B202" s="598" t="s">
        <v>38</v>
      </c>
      <c r="C202" s="599"/>
      <c r="D202" s="77" t="s">
        <v>39</v>
      </c>
      <c r="E202" s="78" t="s">
        <v>210</v>
      </c>
      <c r="F202" s="78" t="s">
        <v>58</v>
      </c>
      <c r="G202" s="78" t="s">
        <v>59</v>
      </c>
    </row>
    <row r="203" spans="1:7" ht="15" customHeight="1">
      <c r="A203" s="84" t="s">
        <v>9</v>
      </c>
      <c r="B203" s="613" t="s">
        <v>185</v>
      </c>
      <c r="C203" s="613"/>
      <c r="D203" s="84" t="s">
        <v>85</v>
      </c>
      <c r="E203" s="101">
        <v>0.67</v>
      </c>
      <c r="F203" s="101">
        <v>32.6</v>
      </c>
      <c r="G203" s="103">
        <f>E203*F203</f>
        <v>21.842000000000002</v>
      </c>
    </row>
    <row r="204" spans="1:7" ht="14.25" customHeight="1">
      <c r="A204" s="84" t="s">
        <v>45</v>
      </c>
      <c r="B204" s="613" t="s">
        <v>186</v>
      </c>
      <c r="C204" s="613"/>
      <c r="D204" s="84" t="s">
        <v>85</v>
      </c>
      <c r="E204" s="114"/>
      <c r="F204" s="44">
        <f>(1151.55+210.41+5.7+145.58)*1.2</f>
        <v>1815.888</v>
      </c>
      <c r="G204" s="103">
        <f>F204*E203</f>
        <v>1216.64496</v>
      </c>
    </row>
    <row r="205" spans="1:7" ht="14.25" customHeight="1">
      <c r="A205" s="84" t="s">
        <v>14</v>
      </c>
      <c r="B205" s="613" t="s">
        <v>187</v>
      </c>
      <c r="C205" s="613"/>
      <c r="D205" s="84" t="s">
        <v>85</v>
      </c>
      <c r="E205" s="114"/>
      <c r="F205" s="114"/>
      <c r="G205" s="114"/>
    </row>
    <row r="206" spans="1:7" ht="14.25">
      <c r="A206" s="84" t="s">
        <v>49</v>
      </c>
      <c r="B206" s="613" t="s">
        <v>188</v>
      </c>
      <c r="C206" s="613"/>
      <c r="D206" s="84" t="s">
        <v>85</v>
      </c>
      <c r="E206" s="114"/>
      <c r="F206" s="114"/>
      <c r="G206" s="114"/>
    </row>
    <row r="207" spans="1:7" ht="15" customHeight="1">
      <c r="A207" s="84" t="s">
        <v>19</v>
      </c>
      <c r="B207" s="613" t="s">
        <v>189</v>
      </c>
      <c r="C207" s="613"/>
      <c r="D207" s="84" t="s">
        <v>85</v>
      </c>
      <c r="E207" s="114"/>
      <c r="F207" s="114"/>
      <c r="G207" s="114"/>
    </row>
    <row r="208" spans="1:10" ht="15" customHeight="1">
      <c r="A208" s="84" t="s">
        <v>54</v>
      </c>
      <c r="B208" s="613" t="s">
        <v>190</v>
      </c>
      <c r="C208" s="613"/>
      <c r="D208" s="84" t="s">
        <v>101</v>
      </c>
      <c r="E208" s="241">
        <f>J208/F208</f>
        <v>24.2202655448967</v>
      </c>
      <c r="F208" s="43">
        <v>1.68</v>
      </c>
      <c r="G208" s="240">
        <f>E208*F208</f>
        <v>40.690046115426455</v>
      </c>
      <c r="H208" s="54"/>
      <c r="I208" s="448">
        <f>1288300*0.4/8485.23</f>
        <v>60.7314121125768</v>
      </c>
      <c r="J208" s="448">
        <f>I208*E203</f>
        <v>40.690046115426455</v>
      </c>
    </row>
    <row r="209" spans="1:10" ht="15" customHeight="1">
      <c r="A209" s="84" t="s">
        <v>22</v>
      </c>
      <c r="B209" s="613" t="s">
        <v>191</v>
      </c>
      <c r="C209" s="613"/>
      <c r="D209" s="84" t="s">
        <v>192</v>
      </c>
      <c r="E209" s="446">
        <f>J209/F209</f>
        <v>0.13478125511523423</v>
      </c>
      <c r="F209" s="43">
        <f>987*1.2</f>
        <v>1184.3999999999999</v>
      </c>
      <c r="G209" s="240">
        <f>E209*F209</f>
        <v>159.6349185584834</v>
      </c>
      <c r="H209" s="54"/>
      <c r="I209" s="448">
        <f>2021700/8485.23</f>
        <v>238.26107247534836</v>
      </c>
      <c r="J209" s="448">
        <f>I209*E203</f>
        <v>159.6349185584834</v>
      </c>
    </row>
    <row r="210" spans="1:10" ht="15" customHeight="1">
      <c r="A210" s="84" t="s">
        <v>72</v>
      </c>
      <c r="B210" s="613" t="s">
        <v>193</v>
      </c>
      <c r="C210" s="613"/>
      <c r="D210" s="84" t="s">
        <v>85</v>
      </c>
      <c r="E210" s="447"/>
      <c r="F210" s="241">
        <f>(229000+16300)/8485.23</f>
        <v>28.909057267746427</v>
      </c>
      <c r="G210" s="240">
        <f>F210*E203</f>
        <v>19.369068369390106</v>
      </c>
      <c r="H210" s="54"/>
      <c r="I210" s="54"/>
      <c r="J210" s="54"/>
    </row>
    <row r="211" spans="1:10" ht="14.25" customHeight="1">
      <c r="A211" s="84" t="s">
        <v>26</v>
      </c>
      <c r="B211" s="613" t="s">
        <v>194</v>
      </c>
      <c r="C211" s="613"/>
      <c r="D211" s="84" t="s">
        <v>85</v>
      </c>
      <c r="E211" s="447"/>
      <c r="F211" s="43">
        <v>2693.4</v>
      </c>
      <c r="G211" s="240">
        <f>F211*E203</f>
        <v>1804.5780000000002</v>
      </c>
      <c r="H211" s="54"/>
      <c r="I211" s="54"/>
      <c r="J211" s="54"/>
    </row>
    <row r="212" spans="1:10" ht="15" customHeight="1">
      <c r="A212" s="84" t="s">
        <v>31</v>
      </c>
      <c r="B212" s="613" t="s">
        <v>195</v>
      </c>
      <c r="C212" s="613"/>
      <c r="D212" s="84" t="s">
        <v>85</v>
      </c>
      <c r="E212" s="447"/>
      <c r="F212" s="43">
        <v>300.6</v>
      </c>
      <c r="G212" s="240">
        <f>F212*E203</f>
        <v>201.40200000000002</v>
      </c>
      <c r="H212" s="54"/>
      <c r="I212" s="54"/>
      <c r="J212" s="54"/>
    </row>
    <row r="213" spans="1:10" ht="15" customHeight="1">
      <c r="A213" s="84" t="s">
        <v>79</v>
      </c>
      <c r="B213" s="613" t="s">
        <v>196</v>
      </c>
      <c r="C213" s="613"/>
      <c r="D213" s="84" t="s">
        <v>85</v>
      </c>
      <c r="E213" s="447"/>
      <c r="F213" s="43">
        <v>1242.8</v>
      </c>
      <c r="G213" s="240">
        <f>F213*E203</f>
        <v>832.676</v>
      </c>
      <c r="H213" s="54"/>
      <c r="I213" s="54"/>
      <c r="J213" s="54"/>
    </row>
    <row r="214" ht="14.25">
      <c r="A214" s="67"/>
    </row>
    <row r="215" ht="14.25">
      <c r="A215" s="67" t="s">
        <v>197</v>
      </c>
    </row>
    <row r="216" ht="15" thickBot="1">
      <c r="A216" s="76"/>
    </row>
    <row r="217" spans="1:7" ht="14.25" customHeight="1">
      <c r="A217" s="623" t="s">
        <v>37</v>
      </c>
      <c r="B217" s="598" t="s">
        <v>38</v>
      </c>
      <c r="C217" s="599"/>
      <c r="D217" s="77" t="s">
        <v>198</v>
      </c>
      <c r="E217" s="598" t="s">
        <v>59</v>
      </c>
      <c r="F217" s="616"/>
      <c r="G217" s="599"/>
    </row>
    <row r="218" spans="1:7" ht="14.25">
      <c r="A218" s="624"/>
      <c r="B218" s="600"/>
      <c r="C218" s="612"/>
      <c r="D218" s="112" t="s">
        <v>199</v>
      </c>
      <c r="E218" s="600"/>
      <c r="F218" s="617"/>
      <c r="G218" s="612"/>
    </row>
    <row r="219" spans="1:7" ht="15" customHeight="1">
      <c r="A219" s="84" t="s">
        <v>9</v>
      </c>
      <c r="B219" s="613" t="s">
        <v>200</v>
      </c>
      <c r="C219" s="613"/>
      <c r="D219" s="84" t="s">
        <v>85</v>
      </c>
      <c r="E219" s="614">
        <f>G44+G60+G64+G65+G98+G119+G131+G144+G162+G170+G186+G194</f>
        <v>30094.8378436159</v>
      </c>
      <c r="F219" s="615"/>
      <c r="G219" s="615"/>
    </row>
    <row r="220" spans="1:7" ht="15" customHeight="1">
      <c r="A220" s="84" t="s">
        <v>45</v>
      </c>
      <c r="B220" s="613" t="s">
        <v>201</v>
      </c>
      <c r="C220" s="613"/>
      <c r="D220" s="84" t="s">
        <v>85</v>
      </c>
      <c r="E220" s="614">
        <f>SUM(G203:G213)</f>
        <v>4296.836993043301</v>
      </c>
      <c r="F220" s="614"/>
      <c r="G220" s="614"/>
    </row>
    <row r="221" spans="1:7" ht="14.25">
      <c r="A221" s="84" t="s">
        <v>14</v>
      </c>
      <c r="B221" s="613" t="s">
        <v>202</v>
      </c>
      <c r="C221" s="613"/>
      <c r="D221" s="84" t="s">
        <v>85</v>
      </c>
      <c r="E221" s="614">
        <f>E219+E220</f>
        <v>34391.6748366592</v>
      </c>
      <c r="F221" s="614"/>
      <c r="G221" s="614"/>
    </row>
    <row r="222" spans="1:7" ht="15" customHeight="1">
      <c r="A222" s="84">
        <v>4</v>
      </c>
      <c r="B222" s="613" t="s">
        <v>203</v>
      </c>
      <c r="C222" s="613"/>
      <c r="D222" s="84" t="s">
        <v>85</v>
      </c>
      <c r="E222" s="611"/>
      <c r="F222" s="611"/>
      <c r="G222" s="611"/>
    </row>
    <row r="223" spans="1:7" ht="15" customHeight="1">
      <c r="A223" s="84" t="s">
        <v>19</v>
      </c>
      <c r="B223" s="613" t="s">
        <v>204</v>
      </c>
      <c r="C223" s="613"/>
      <c r="D223" s="84" t="s">
        <v>85</v>
      </c>
      <c r="E223" s="611">
        <f>E221-E222</f>
        <v>34391.6748366592</v>
      </c>
      <c r="F223" s="611"/>
      <c r="G223" s="611"/>
    </row>
    <row r="224" ht="14.25">
      <c r="A224" s="95"/>
    </row>
    <row r="225" ht="14.25">
      <c r="A225" s="95"/>
    </row>
    <row r="226" spans="2:3" ht="14.25">
      <c r="B226" s="116" t="s">
        <v>63</v>
      </c>
      <c r="C226" s="117"/>
    </row>
    <row r="227" ht="14.25">
      <c r="A227" s="95"/>
    </row>
    <row r="228" ht="14.25">
      <c r="B228" s="116" t="s">
        <v>206</v>
      </c>
    </row>
  </sheetData>
  <sheetProtection/>
  <mergeCells count="165">
    <mergeCell ref="B139:C139"/>
    <mergeCell ref="B141:C141"/>
    <mergeCell ref="B124:C124"/>
    <mergeCell ref="B135:C135"/>
    <mergeCell ref="B136:C136"/>
    <mergeCell ref="B137:C137"/>
    <mergeCell ref="B130:C130"/>
    <mergeCell ref="B112:C112"/>
    <mergeCell ref="B115:C115"/>
    <mergeCell ref="B116:C116"/>
    <mergeCell ref="B117:C117"/>
    <mergeCell ref="B118:C118"/>
    <mergeCell ref="B138:C138"/>
    <mergeCell ref="B73:C73"/>
    <mergeCell ref="B74:C74"/>
    <mergeCell ref="B80:C80"/>
    <mergeCell ref="B111:C111"/>
    <mergeCell ref="B96:C96"/>
    <mergeCell ref="B103:C103"/>
    <mergeCell ref="B104:C104"/>
    <mergeCell ref="B105:C105"/>
    <mergeCell ref="B102:C102"/>
    <mergeCell ref="B108:C108"/>
    <mergeCell ref="A33:A34"/>
    <mergeCell ref="B44:C44"/>
    <mergeCell ref="B64:C64"/>
    <mergeCell ref="B65:C65"/>
    <mergeCell ref="A40:A43"/>
    <mergeCell ref="B36:C36"/>
    <mergeCell ref="B37:C37"/>
    <mergeCell ref="B38:C38"/>
    <mergeCell ref="B39:C39"/>
    <mergeCell ref="B40:C40"/>
    <mergeCell ref="A217:A218"/>
    <mergeCell ref="B125:C125"/>
    <mergeCell ref="B126:C126"/>
    <mergeCell ref="B127:C127"/>
    <mergeCell ref="B128:C128"/>
    <mergeCell ref="B129:C129"/>
    <mergeCell ref="B142:C142"/>
    <mergeCell ref="A166:A167"/>
    <mergeCell ref="B166:C167"/>
    <mergeCell ref="B168:C168"/>
    <mergeCell ref="A47:A48"/>
    <mergeCell ref="D136:G136"/>
    <mergeCell ref="F47:F48"/>
    <mergeCell ref="G47:G48"/>
    <mergeCell ref="B81:C81"/>
    <mergeCell ref="B82:C82"/>
    <mergeCell ref="B71:C71"/>
    <mergeCell ref="B72:C72"/>
    <mergeCell ref="A70:C70"/>
    <mergeCell ref="A69:C69"/>
    <mergeCell ref="B86:C86"/>
    <mergeCell ref="A88:C88"/>
    <mergeCell ref="A89:C89"/>
    <mergeCell ref="A94:C94"/>
    <mergeCell ref="B106:C106"/>
    <mergeCell ref="B107:C107"/>
    <mergeCell ref="B97:C97"/>
    <mergeCell ref="B155:C155"/>
    <mergeCell ref="B156:C156"/>
    <mergeCell ref="B95:C95"/>
    <mergeCell ref="B144:C144"/>
    <mergeCell ref="D137:G137"/>
    <mergeCell ref="B87:C87"/>
    <mergeCell ref="B109:C109"/>
    <mergeCell ref="B110:C110"/>
    <mergeCell ref="B113:C113"/>
    <mergeCell ref="B114:C114"/>
    <mergeCell ref="B75:C75"/>
    <mergeCell ref="B76:C76"/>
    <mergeCell ref="B77:C77"/>
    <mergeCell ref="B78:C78"/>
    <mergeCell ref="B159:C159"/>
    <mergeCell ref="A83:C83"/>
    <mergeCell ref="A84:C84"/>
    <mergeCell ref="B158:C158"/>
    <mergeCell ref="B157:C157"/>
    <mergeCell ref="B154:C154"/>
    <mergeCell ref="B153:C153"/>
    <mergeCell ref="B152:C152"/>
    <mergeCell ref="B140:C140"/>
    <mergeCell ref="B143:C143"/>
    <mergeCell ref="B79:C79"/>
    <mergeCell ref="B92:C92"/>
    <mergeCell ref="B98:C98"/>
    <mergeCell ref="B90:C90"/>
    <mergeCell ref="B91:C91"/>
    <mergeCell ref="B85:C85"/>
    <mergeCell ref="B162:C162"/>
    <mergeCell ref="B161:C161"/>
    <mergeCell ref="B160:C160"/>
    <mergeCell ref="B177:C177"/>
    <mergeCell ref="B180:C180"/>
    <mergeCell ref="B181:C181"/>
    <mergeCell ref="B179:C179"/>
    <mergeCell ref="B175:C175"/>
    <mergeCell ref="B169:C169"/>
    <mergeCell ref="B170:C170"/>
    <mergeCell ref="B174:C174"/>
    <mergeCell ref="B176:C176"/>
    <mergeCell ref="B190:C190"/>
    <mergeCell ref="B202:C202"/>
    <mergeCell ref="B194:C194"/>
    <mergeCell ref="B183:C183"/>
    <mergeCell ref="B184:C184"/>
    <mergeCell ref="B185:C185"/>
    <mergeCell ref="B204:C204"/>
    <mergeCell ref="B205:C205"/>
    <mergeCell ref="B206:C206"/>
    <mergeCell ref="B207:C207"/>
    <mergeCell ref="B203:C203"/>
    <mergeCell ref="B178:C178"/>
    <mergeCell ref="B191:C191"/>
    <mergeCell ref="B192:C192"/>
    <mergeCell ref="B193:C193"/>
    <mergeCell ref="B182:C182"/>
    <mergeCell ref="B208:C208"/>
    <mergeCell ref="B209:C209"/>
    <mergeCell ref="B210:C210"/>
    <mergeCell ref="E222:G222"/>
    <mergeCell ref="B211:C211"/>
    <mergeCell ref="B212:C212"/>
    <mergeCell ref="B213:C213"/>
    <mergeCell ref="E217:G218"/>
    <mergeCell ref="E223:G223"/>
    <mergeCell ref="B217:C218"/>
    <mergeCell ref="B219:C219"/>
    <mergeCell ref="B220:C220"/>
    <mergeCell ref="B221:C221"/>
    <mergeCell ref="B222:C222"/>
    <mergeCell ref="B223:C223"/>
    <mergeCell ref="E219:G219"/>
    <mergeCell ref="E220:G220"/>
    <mergeCell ref="E221:G221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B68:C68"/>
    <mergeCell ref="B63:C63"/>
    <mergeCell ref="D47:D48"/>
    <mergeCell ref="F20:G20"/>
    <mergeCell ref="F22:G22"/>
    <mergeCell ref="F24:G24"/>
    <mergeCell ref="B28:G28"/>
    <mergeCell ref="C26:G26"/>
    <mergeCell ref="E47:E48"/>
    <mergeCell ref="B33:C34"/>
    <mergeCell ref="B119:C119"/>
    <mergeCell ref="B131:C131"/>
    <mergeCell ref="B186:C186"/>
    <mergeCell ref="A7:G7"/>
    <mergeCell ref="A8:G8"/>
    <mergeCell ref="A9:G9"/>
    <mergeCell ref="B27:G27"/>
    <mergeCell ref="D24:E24"/>
    <mergeCell ref="F16:G16"/>
    <mergeCell ref="F18:G18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29"/>
  <sheetViews>
    <sheetView zoomScalePageLayoutView="0" workbookViewId="0" topLeftCell="A181">
      <selection activeCell="F227" sqref="F227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451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375</v>
      </c>
      <c r="D16" s="668" t="s">
        <v>17</v>
      </c>
      <c r="E16" s="669"/>
      <c r="F16" s="668" t="s">
        <v>351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22</v>
      </c>
      <c r="D18" s="668" t="s">
        <v>21</v>
      </c>
      <c r="E18" s="669"/>
      <c r="F18" s="668" t="s">
        <v>536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456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389</v>
      </c>
      <c r="D22" s="251" t="s">
        <v>29</v>
      </c>
      <c r="E22" s="252" t="s">
        <v>390</v>
      </c>
      <c r="F22" s="676" t="s">
        <v>30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457</v>
      </c>
      <c r="D24" s="672"/>
      <c r="E24" s="672"/>
      <c r="F24" s="672"/>
      <c r="G24" s="673"/>
    </row>
    <row r="25" spans="1:7" ht="14.25">
      <c r="A25" s="253"/>
      <c r="B25" s="670" t="s">
        <v>458</v>
      </c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7" ht="15" customHeight="1">
      <c r="A34" s="260" t="s">
        <v>9</v>
      </c>
      <c r="B34" s="633" t="s">
        <v>462</v>
      </c>
      <c r="C34" s="633"/>
      <c r="D34" s="260" t="s">
        <v>43</v>
      </c>
      <c r="E34" s="261" t="s">
        <v>364</v>
      </c>
      <c r="F34" s="262">
        <f>F50/24</f>
        <v>1.2686567164179106</v>
      </c>
      <c r="G34" s="263">
        <f>E34*F34</f>
        <v>20.29850746268657</v>
      </c>
    </row>
    <row r="35" spans="1:7" ht="15" customHeight="1">
      <c r="A35" s="260" t="s">
        <v>45</v>
      </c>
      <c r="B35" s="633" t="s">
        <v>463</v>
      </c>
      <c r="C35" s="633"/>
      <c r="D35" s="260" t="s">
        <v>43</v>
      </c>
      <c r="E35" s="261" t="s">
        <v>364</v>
      </c>
      <c r="F35" s="262">
        <f>F50/24</f>
        <v>1.2686567164179106</v>
      </c>
      <c r="G35" s="263">
        <f>E35*F35</f>
        <v>20.29850746268657</v>
      </c>
    </row>
    <row r="36" spans="1:7" ht="15" customHeight="1">
      <c r="A36" s="260" t="s">
        <v>14</v>
      </c>
      <c r="B36" s="633" t="s">
        <v>464</v>
      </c>
      <c r="C36" s="633"/>
      <c r="D36" s="260" t="s">
        <v>43</v>
      </c>
      <c r="E36" s="261" t="s">
        <v>47</v>
      </c>
      <c r="F36" s="262">
        <f>(F50+F54)/2/24</f>
        <v>1.2661691542288558</v>
      </c>
      <c r="G36" s="263">
        <f>8*F36*2</f>
        <v>20.258706467661693</v>
      </c>
    </row>
    <row r="37" spans="1:7" ht="15" customHeight="1">
      <c r="A37" s="260" t="s">
        <v>49</v>
      </c>
      <c r="B37" s="633" t="s">
        <v>465</v>
      </c>
      <c r="C37" s="633"/>
      <c r="D37" s="260" t="s">
        <v>43</v>
      </c>
      <c r="E37" s="261" t="s">
        <v>47</v>
      </c>
      <c r="F37" s="262">
        <f>(F50+F54)/2/24</f>
        <v>1.2661691542288558</v>
      </c>
      <c r="G37" s="263">
        <f>8*F37*2</f>
        <v>20.258706467661693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>E38*F38</f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>E39*F39</f>
        <v>0</v>
      </c>
    </row>
    <row r="40" spans="1:7" ht="15.75" customHeight="1">
      <c r="A40" s="639"/>
      <c r="B40" s="664"/>
      <c r="C40" s="665"/>
      <c r="D40" s="264"/>
      <c r="E40" s="269"/>
      <c r="F40" s="266"/>
      <c r="G40" s="263">
        <f>E40*F40</f>
        <v>0</v>
      </c>
    </row>
    <row r="41" spans="1:7" ht="14.25">
      <c r="A41" s="639"/>
      <c r="B41" s="270"/>
      <c r="C41" s="271"/>
      <c r="D41" s="264"/>
      <c r="E41" s="272"/>
      <c r="F41" s="266"/>
      <c r="G41" s="273">
        <f>E41*F41</f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81.11442786069652</v>
      </c>
    </row>
    <row r="43" ht="14.25">
      <c r="A43" s="254"/>
    </row>
    <row r="44" ht="14.25">
      <c r="A44" s="254"/>
    </row>
    <row r="45" ht="14.25">
      <c r="A45" s="254"/>
    </row>
    <row r="46" ht="15" thickBot="1">
      <c r="A46" s="254" t="s">
        <v>56</v>
      </c>
    </row>
    <row r="47" spans="1:7" ht="27.75" customHeight="1" thickBot="1">
      <c r="A47" s="637" t="s">
        <v>37</v>
      </c>
      <c r="B47" s="652" t="s">
        <v>57</v>
      </c>
      <c r="C47" s="666"/>
      <c r="D47" s="642" t="s">
        <v>39</v>
      </c>
      <c r="E47" s="642" t="s">
        <v>207</v>
      </c>
      <c r="F47" s="637" t="s">
        <v>58</v>
      </c>
      <c r="G47" s="643" t="s">
        <v>59</v>
      </c>
    </row>
    <row r="48" spans="1:7" ht="15" customHeight="1" thickBot="1">
      <c r="A48" s="638"/>
      <c r="B48" s="274" t="s">
        <v>60</v>
      </c>
      <c r="C48" s="275" t="s">
        <v>61</v>
      </c>
      <c r="D48" s="644"/>
      <c r="E48" s="644"/>
      <c r="F48" s="638"/>
      <c r="G48" s="645"/>
    </row>
    <row r="49" spans="1:7" ht="14.25" customHeight="1">
      <c r="A49" s="272">
        <v>1</v>
      </c>
      <c r="B49" s="326" t="s">
        <v>62</v>
      </c>
      <c r="C49" s="326" t="s">
        <v>258</v>
      </c>
      <c r="D49" s="272" t="s">
        <v>43</v>
      </c>
      <c r="E49" s="272">
        <v>2</v>
      </c>
      <c r="F49" s="86">
        <f>6600*12/2010</f>
        <v>39.40298507462686</v>
      </c>
      <c r="G49" s="281">
        <f>E49*F49</f>
        <v>78.80597014925372</v>
      </c>
    </row>
    <row r="50" spans="1:7" ht="15" customHeight="1">
      <c r="A50" s="260">
        <v>2</v>
      </c>
      <c r="B50" s="276" t="s">
        <v>63</v>
      </c>
      <c r="C50" s="276" t="s">
        <v>452</v>
      </c>
      <c r="D50" s="260" t="s">
        <v>43</v>
      </c>
      <c r="E50" s="261" t="s">
        <v>364</v>
      </c>
      <c r="F50" s="262">
        <f>5100*12/2010</f>
        <v>30.44776119402985</v>
      </c>
      <c r="G50" s="263">
        <f>E50*F50</f>
        <v>487.1641791044776</v>
      </c>
    </row>
    <row r="51" spans="1:7" ht="15" customHeight="1">
      <c r="A51" s="260">
        <v>3</v>
      </c>
      <c r="B51" s="276" t="s">
        <v>65</v>
      </c>
      <c r="C51" s="276" t="s">
        <v>452</v>
      </c>
      <c r="D51" s="260" t="s">
        <v>43</v>
      </c>
      <c r="E51" s="261" t="s">
        <v>261</v>
      </c>
      <c r="F51" s="262">
        <f>5100*12/2010</f>
        <v>30.44776119402985</v>
      </c>
      <c r="G51" s="263">
        <f>E51*F51</f>
        <v>121.7910447761194</v>
      </c>
    </row>
    <row r="52" spans="1:9" ht="15" customHeight="1">
      <c r="A52" s="260">
        <v>4</v>
      </c>
      <c r="B52" s="276" t="s">
        <v>67</v>
      </c>
      <c r="C52" s="276" t="s">
        <v>453</v>
      </c>
      <c r="D52" s="260" t="s">
        <v>43</v>
      </c>
      <c r="E52" s="261" t="s">
        <v>461</v>
      </c>
      <c r="F52" s="315">
        <f>4382*12/2010</f>
        <v>26.161194029850748</v>
      </c>
      <c r="G52" s="316">
        <f>7*F52*4</f>
        <v>732.5134328358209</v>
      </c>
      <c r="H52" s="317"/>
      <c r="I52" s="318" t="s">
        <v>413</v>
      </c>
    </row>
    <row r="53" spans="1:7" ht="15" customHeight="1">
      <c r="A53" s="260">
        <v>5</v>
      </c>
      <c r="B53" s="276" t="s">
        <v>67</v>
      </c>
      <c r="C53" s="276" t="s">
        <v>460</v>
      </c>
      <c r="D53" s="260" t="s">
        <v>43</v>
      </c>
      <c r="E53" s="261" t="s">
        <v>288</v>
      </c>
      <c r="F53" s="262">
        <f>5100*12/2010</f>
        <v>30.44776119402985</v>
      </c>
      <c r="G53" s="263">
        <f aca="true" t="shared" si="0" ref="G53:G59">E53*F53</f>
        <v>304.4776119402985</v>
      </c>
    </row>
    <row r="54" spans="1:7" ht="15" customHeight="1">
      <c r="A54" s="260">
        <v>6</v>
      </c>
      <c r="B54" s="276" t="s">
        <v>70</v>
      </c>
      <c r="C54" s="276" t="s">
        <v>454</v>
      </c>
      <c r="D54" s="260" t="s">
        <v>43</v>
      </c>
      <c r="E54" s="261" t="s">
        <v>410</v>
      </c>
      <c r="F54" s="262">
        <f>5080*12/2010</f>
        <v>30.328358208955223</v>
      </c>
      <c r="G54" s="263">
        <f t="shared" si="0"/>
        <v>909.8507462686566</v>
      </c>
    </row>
    <row r="55" spans="1:7" ht="15" customHeight="1">
      <c r="A55" s="260">
        <v>7</v>
      </c>
      <c r="B55" s="276" t="s">
        <v>73</v>
      </c>
      <c r="C55" s="276" t="s">
        <v>459</v>
      </c>
      <c r="D55" s="260" t="s">
        <v>43</v>
      </c>
      <c r="E55" s="261" t="s">
        <v>364</v>
      </c>
      <c r="F55" s="262">
        <f>3160*12/2010</f>
        <v>18.865671641791046</v>
      </c>
      <c r="G55" s="263">
        <f t="shared" si="0"/>
        <v>301.85074626865674</v>
      </c>
    </row>
    <row r="56" spans="1:7" ht="15" customHeight="1">
      <c r="A56" s="260">
        <v>8</v>
      </c>
      <c r="B56" s="276" t="s">
        <v>75</v>
      </c>
      <c r="C56" s="276" t="s">
        <v>331</v>
      </c>
      <c r="D56" s="260" t="s">
        <v>43</v>
      </c>
      <c r="E56" s="261" t="s">
        <v>418</v>
      </c>
      <c r="F56" s="262">
        <f>3470*12/2010</f>
        <v>20.71641791044776</v>
      </c>
      <c r="G56" s="263">
        <f t="shared" si="0"/>
        <v>414.3283582089552</v>
      </c>
    </row>
    <row r="57" spans="1:7" ht="15" customHeight="1">
      <c r="A57" s="260">
        <v>9</v>
      </c>
      <c r="B57" s="276" t="s">
        <v>332</v>
      </c>
      <c r="C57" s="276" t="s">
        <v>350</v>
      </c>
      <c r="D57" s="260" t="s">
        <v>43</v>
      </c>
      <c r="E57" s="261" t="s">
        <v>418</v>
      </c>
      <c r="F57" s="262">
        <f>3500*12/2010</f>
        <v>20.895522388059703</v>
      </c>
      <c r="G57" s="263">
        <f t="shared" si="0"/>
        <v>417.91044776119406</v>
      </c>
    </row>
    <row r="58" spans="1:9" ht="15" customHeight="1">
      <c r="A58" s="260">
        <v>10</v>
      </c>
      <c r="B58" s="276" t="s">
        <v>263</v>
      </c>
      <c r="C58" s="276" t="s">
        <v>395</v>
      </c>
      <c r="D58" s="260" t="s">
        <v>43</v>
      </c>
      <c r="E58" s="261" t="s">
        <v>288</v>
      </c>
      <c r="F58" s="315">
        <f>3061*12/2010</f>
        <v>18.274626865671642</v>
      </c>
      <c r="G58" s="316">
        <f t="shared" si="0"/>
        <v>182.74626865671644</v>
      </c>
      <c r="H58" s="317"/>
      <c r="I58" s="318" t="s">
        <v>411</v>
      </c>
    </row>
    <row r="59" spans="1:9" ht="15" customHeight="1">
      <c r="A59" s="260">
        <v>11</v>
      </c>
      <c r="B59" s="276" t="s">
        <v>425</v>
      </c>
      <c r="C59" s="276" t="s">
        <v>395</v>
      </c>
      <c r="D59" s="260" t="s">
        <v>43</v>
      </c>
      <c r="E59" s="261" t="s">
        <v>312</v>
      </c>
      <c r="F59" s="315">
        <f>3894*12/2010</f>
        <v>23.247761194029852</v>
      </c>
      <c r="G59" s="316">
        <f t="shared" si="0"/>
        <v>278.97313432835824</v>
      </c>
      <c r="H59" s="317"/>
      <c r="I59" s="318" t="s">
        <v>431</v>
      </c>
    </row>
    <row r="60" spans="1:7" ht="15" customHeight="1">
      <c r="A60" s="260"/>
      <c r="B60" s="276" t="s">
        <v>82</v>
      </c>
      <c r="C60" s="276"/>
      <c r="D60" s="260"/>
      <c r="E60" s="261"/>
      <c r="F60" s="260"/>
      <c r="G60" s="263">
        <f>SUM(G49:G59)</f>
        <v>4230.411940298507</v>
      </c>
    </row>
    <row r="61" ht="15" customHeight="1">
      <c r="A61" s="278"/>
    </row>
    <row r="62" ht="15" thickBot="1">
      <c r="A62" s="254" t="s">
        <v>83</v>
      </c>
    </row>
    <row r="63" spans="1:7" ht="28.5" customHeight="1" thickBot="1">
      <c r="A63" s="279" t="s">
        <v>37</v>
      </c>
      <c r="B63" s="652" t="s">
        <v>38</v>
      </c>
      <c r="C63" s="653"/>
      <c r="D63" s="280" t="s">
        <v>39</v>
      </c>
      <c r="E63" s="280" t="s">
        <v>207</v>
      </c>
      <c r="F63" s="280" t="s">
        <v>58</v>
      </c>
      <c r="G63" s="280" t="s">
        <v>59</v>
      </c>
    </row>
    <row r="64" spans="1:7" ht="15" customHeight="1">
      <c r="A64" s="272" t="s">
        <v>9</v>
      </c>
      <c r="B64" s="634" t="s">
        <v>84</v>
      </c>
      <c r="C64" s="634"/>
      <c r="D64" s="272" t="s">
        <v>85</v>
      </c>
      <c r="E64" s="259"/>
      <c r="F64" s="259"/>
      <c r="G64" s="281">
        <f>(G42+G60)*0.23</f>
        <v>991.6510646766168</v>
      </c>
    </row>
    <row r="65" spans="1:7" ht="15" customHeight="1">
      <c r="A65" s="260" t="s">
        <v>45</v>
      </c>
      <c r="B65" s="633" t="s">
        <v>86</v>
      </c>
      <c r="C65" s="633"/>
      <c r="D65" s="260" t="s">
        <v>85</v>
      </c>
      <c r="E65" s="283"/>
      <c r="F65" s="283"/>
      <c r="G65" s="263">
        <f>(G42+G60)*0.035</f>
        <v>150.90342288557213</v>
      </c>
    </row>
    <row r="66" ht="18" customHeight="1">
      <c r="A66" s="278"/>
    </row>
    <row r="67" ht="15" thickBot="1">
      <c r="A67" s="254" t="s">
        <v>87</v>
      </c>
    </row>
    <row r="68" spans="1:7" ht="27" customHeight="1" thickBot="1">
      <c r="A68" s="256" t="s">
        <v>37</v>
      </c>
      <c r="B68" s="642" t="s">
        <v>38</v>
      </c>
      <c r="C68" s="643"/>
      <c r="D68" s="255" t="s">
        <v>39</v>
      </c>
      <c r="E68" s="284" t="s">
        <v>207</v>
      </c>
      <c r="F68" s="256" t="s">
        <v>58</v>
      </c>
      <c r="G68" s="256" t="s">
        <v>59</v>
      </c>
    </row>
    <row r="69" spans="1:7" ht="15" customHeight="1">
      <c r="A69" s="650"/>
      <c r="B69" s="650"/>
      <c r="C69" s="650"/>
      <c r="D69" s="285"/>
      <c r="E69" s="285"/>
      <c r="F69" s="286"/>
      <c r="G69" s="286"/>
    </row>
    <row r="70" spans="1:7" ht="14.25">
      <c r="A70" s="649" t="s">
        <v>88</v>
      </c>
      <c r="B70" s="649"/>
      <c r="C70" s="649"/>
      <c r="D70" s="264"/>
      <c r="E70" s="264"/>
      <c r="F70" s="266"/>
      <c r="G70" s="266"/>
    </row>
    <row r="71" spans="1:7" ht="15" customHeight="1">
      <c r="A71" s="288" t="s">
        <v>9</v>
      </c>
      <c r="B71" s="633" t="s">
        <v>273</v>
      </c>
      <c r="C71" s="633"/>
      <c r="D71" s="260"/>
      <c r="E71" s="260"/>
      <c r="F71" s="260"/>
      <c r="G71" s="260"/>
    </row>
    <row r="72" spans="1:7" ht="15" customHeight="1">
      <c r="A72" s="288" t="s">
        <v>45</v>
      </c>
      <c r="B72" s="633" t="s">
        <v>90</v>
      </c>
      <c r="C72" s="633"/>
      <c r="D72" s="260" t="s">
        <v>91</v>
      </c>
      <c r="E72" s="260">
        <v>4</v>
      </c>
      <c r="F72" s="260">
        <v>635.1</v>
      </c>
      <c r="G72" s="263">
        <f>E72*F72</f>
        <v>2540.4</v>
      </c>
    </row>
    <row r="73" spans="1:7" ht="15" customHeight="1">
      <c r="A73" s="288" t="s">
        <v>14</v>
      </c>
      <c r="B73" s="633" t="s">
        <v>92</v>
      </c>
      <c r="C73" s="633"/>
      <c r="D73" s="260" t="s">
        <v>91</v>
      </c>
      <c r="E73" s="260"/>
      <c r="F73" s="260"/>
      <c r="G73" s="263">
        <f>E73*F73</f>
        <v>0</v>
      </c>
    </row>
    <row r="74" spans="1:7" ht="15" customHeight="1">
      <c r="A74" s="288" t="s">
        <v>49</v>
      </c>
      <c r="B74" s="633" t="s">
        <v>93</v>
      </c>
      <c r="C74" s="633"/>
      <c r="D74" s="260" t="s">
        <v>91</v>
      </c>
      <c r="E74" s="260">
        <v>6</v>
      </c>
      <c r="F74" s="260">
        <v>635.1</v>
      </c>
      <c r="G74" s="263">
        <f>E74*F74</f>
        <v>3810.6000000000004</v>
      </c>
    </row>
    <row r="75" spans="1:7" ht="15" customHeight="1">
      <c r="A75" s="288" t="s">
        <v>19</v>
      </c>
      <c r="B75" s="633" t="s">
        <v>434</v>
      </c>
      <c r="C75" s="633"/>
      <c r="D75" s="260"/>
      <c r="E75" s="260"/>
      <c r="F75" s="260"/>
      <c r="G75" s="260"/>
    </row>
    <row r="76" spans="1:7" ht="15" customHeight="1">
      <c r="A76" s="288"/>
      <c r="B76" s="636" t="s">
        <v>95</v>
      </c>
      <c r="C76" s="636"/>
      <c r="D76" s="289" t="s">
        <v>96</v>
      </c>
      <c r="E76" s="289">
        <v>5</v>
      </c>
      <c r="F76" s="289"/>
      <c r="G76" s="289"/>
    </row>
    <row r="77" spans="1:7" ht="15" customHeight="1">
      <c r="A77" s="288"/>
      <c r="B77" s="636" t="s">
        <v>97</v>
      </c>
      <c r="C77" s="636"/>
      <c r="D77" s="289" t="s">
        <v>91</v>
      </c>
      <c r="E77" s="289">
        <v>5</v>
      </c>
      <c r="F77" s="289"/>
      <c r="G77" s="289"/>
    </row>
    <row r="78" spans="1:7" ht="15" customHeight="1">
      <c r="A78" s="288"/>
      <c r="B78" s="636" t="s">
        <v>98</v>
      </c>
      <c r="C78" s="636"/>
      <c r="D78" s="289" t="s">
        <v>85</v>
      </c>
      <c r="E78" s="289"/>
      <c r="F78" s="289">
        <v>16.04</v>
      </c>
      <c r="G78" s="290">
        <f>E76*E77*F78</f>
        <v>401</v>
      </c>
    </row>
    <row r="79" spans="1:9" ht="15" customHeight="1">
      <c r="A79" s="288" t="s">
        <v>54</v>
      </c>
      <c r="B79" s="633" t="s">
        <v>397</v>
      </c>
      <c r="C79" s="633"/>
      <c r="D79" s="289"/>
      <c r="E79" s="289"/>
      <c r="F79" s="289"/>
      <c r="G79" s="289"/>
      <c r="I79" s="330"/>
    </row>
    <row r="80" spans="1:9" ht="15" customHeight="1">
      <c r="A80" s="288"/>
      <c r="B80" s="636" t="s">
        <v>97</v>
      </c>
      <c r="C80" s="636"/>
      <c r="D80" s="289" t="s">
        <v>91</v>
      </c>
      <c r="E80" s="289">
        <v>5</v>
      </c>
      <c r="F80" s="289"/>
      <c r="G80" s="289"/>
      <c r="I80" s="330"/>
    </row>
    <row r="81" spans="1:9" ht="15" customHeight="1">
      <c r="A81" s="288"/>
      <c r="B81" s="636" t="s">
        <v>100</v>
      </c>
      <c r="C81" s="636"/>
      <c r="D81" s="289" t="s">
        <v>101</v>
      </c>
      <c r="E81" s="292">
        <v>138</v>
      </c>
      <c r="F81" s="289">
        <v>1.68</v>
      </c>
      <c r="G81" s="290">
        <f>E80*E81*F81</f>
        <v>1159.2</v>
      </c>
      <c r="I81" s="330"/>
    </row>
    <row r="82" spans="1:9" ht="15" customHeight="1">
      <c r="A82" s="288"/>
      <c r="B82" s="636" t="s">
        <v>102</v>
      </c>
      <c r="C82" s="636"/>
      <c r="D82" s="289" t="s">
        <v>91</v>
      </c>
      <c r="E82" s="289"/>
      <c r="F82" s="293">
        <f>2250.05/2</f>
        <v>1125.025</v>
      </c>
      <c r="G82" s="290">
        <f>E80*F82</f>
        <v>5625.125</v>
      </c>
      <c r="I82" s="331"/>
    </row>
    <row r="83" spans="1:9" ht="14.25" customHeight="1">
      <c r="A83" s="649"/>
      <c r="B83" s="649"/>
      <c r="C83" s="649"/>
      <c r="D83" s="294"/>
      <c r="E83" s="294"/>
      <c r="F83" s="294"/>
      <c r="G83" s="294"/>
      <c r="I83" s="332"/>
    </row>
    <row r="84" spans="1:7" ht="14.25">
      <c r="A84" s="649" t="s">
        <v>398</v>
      </c>
      <c r="B84" s="649"/>
      <c r="C84" s="649"/>
      <c r="D84" s="294"/>
      <c r="E84" s="294"/>
      <c r="F84" s="294"/>
      <c r="G84" s="294"/>
    </row>
    <row r="85" spans="1:7" ht="15" customHeight="1">
      <c r="A85" s="288"/>
      <c r="B85" s="636" t="s">
        <v>399</v>
      </c>
      <c r="C85" s="636"/>
      <c r="D85" s="289" t="s">
        <v>91</v>
      </c>
      <c r="E85" s="289">
        <v>8</v>
      </c>
      <c r="F85" s="289"/>
      <c r="G85" s="289"/>
    </row>
    <row r="86" spans="1:7" ht="15" customHeight="1">
      <c r="A86" s="288"/>
      <c r="B86" s="636" t="s">
        <v>104</v>
      </c>
      <c r="C86" s="636"/>
      <c r="D86" s="289" t="s">
        <v>101</v>
      </c>
      <c r="E86" s="289">
        <v>1.35</v>
      </c>
      <c r="F86" s="289">
        <v>1.68</v>
      </c>
      <c r="G86" s="290">
        <f>E85*E86*F86</f>
        <v>18.144000000000002</v>
      </c>
    </row>
    <row r="87" spans="1:7" ht="14.25" customHeight="1">
      <c r="A87" s="288"/>
      <c r="B87" s="636" t="s">
        <v>105</v>
      </c>
      <c r="C87" s="636"/>
      <c r="D87" s="289" t="s">
        <v>85</v>
      </c>
      <c r="E87" s="289"/>
      <c r="F87" s="289">
        <v>11.8</v>
      </c>
      <c r="G87" s="290">
        <f>E85*F87</f>
        <v>94.4</v>
      </c>
    </row>
    <row r="88" spans="1:7" ht="15" customHeight="1">
      <c r="A88" s="649"/>
      <c r="B88" s="649"/>
      <c r="C88" s="649"/>
      <c r="D88" s="294"/>
      <c r="E88" s="294"/>
      <c r="F88" s="294"/>
      <c r="G88" s="295"/>
    </row>
    <row r="89" spans="1:7" ht="14.25">
      <c r="A89" s="649" t="s">
        <v>106</v>
      </c>
      <c r="B89" s="649"/>
      <c r="C89" s="649"/>
      <c r="D89" s="294"/>
      <c r="E89" s="294"/>
      <c r="F89" s="294"/>
      <c r="G89" s="295"/>
    </row>
    <row r="90" spans="1:7" ht="15" customHeight="1">
      <c r="A90" s="288"/>
      <c r="B90" s="636" t="s">
        <v>97</v>
      </c>
      <c r="C90" s="636"/>
      <c r="D90" s="289" t="s">
        <v>91</v>
      </c>
      <c r="E90" s="289">
        <v>3</v>
      </c>
      <c r="F90" s="289"/>
      <c r="G90" s="290"/>
    </row>
    <row r="91" spans="1:7" ht="15" customHeight="1">
      <c r="A91" s="288"/>
      <c r="B91" s="636" t="s">
        <v>104</v>
      </c>
      <c r="C91" s="636"/>
      <c r="D91" s="289" t="s">
        <v>101</v>
      </c>
      <c r="E91" s="289">
        <v>0.5</v>
      </c>
      <c r="F91" s="289">
        <v>1.68</v>
      </c>
      <c r="G91" s="290">
        <f>E90*E91*F91</f>
        <v>2.52</v>
      </c>
    </row>
    <row r="92" spans="1:7" ht="14.25" customHeight="1">
      <c r="A92" s="288"/>
      <c r="B92" s="636" t="s">
        <v>107</v>
      </c>
      <c r="C92" s="636"/>
      <c r="D92" s="289" t="s">
        <v>85</v>
      </c>
      <c r="E92" s="289"/>
      <c r="F92" s="289">
        <v>0.6</v>
      </c>
      <c r="G92" s="290">
        <f>E90*F92</f>
        <v>1.7999999999999998</v>
      </c>
    </row>
    <row r="94" spans="1:7" ht="15.75">
      <c r="A94" s="649" t="s">
        <v>208</v>
      </c>
      <c r="B94" s="649"/>
      <c r="C94" s="649"/>
      <c r="D94" s="264"/>
      <c r="E94" s="264"/>
      <c r="F94" s="266"/>
      <c r="G94" s="266"/>
    </row>
    <row r="95" spans="1:7" ht="18.75" customHeight="1">
      <c r="A95" s="276"/>
      <c r="B95" s="651"/>
      <c r="C95" s="651"/>
      <c r="D95" s="260"/>
      <c r="E95" s="260"/>
      <c r="F95" s="260"/>
      <c r="G95" s="260"/>
    </row>
    <row r="96" spans="1:7" ht="14.25">
      <c r="A96" s="276"/>
      <c r="B96" s="631"/>
      <c r="C96" s="632"/>
      <c r="D96" s="260"/>
      <c r="E96" s="261"/>
      <c r="F96" s="260"/>
      <c r="G96" s="263">
        <f>SUM(G95:G95)</f>
        <v>0</v>
      </c>
    </row>
    <row r="97" spans="1:7" ht="14.25" customHeight="1">
      <c r="A97" s="260"/>
      <c r="B97" s="631" t="s">
        <v>108</v>
      </c>
      <c r="C97" s="632"/>
      <c r="D97" s="260"/>
      <c r="E97" s="261"/>
      <c r="F97" s="260"/>
      <c r="G97" s="263">
        <f>SUM(G72:G96)</f>
        <v>13653.189</v>
      </c>
    </row>
    <row r="98" spans="1:7" ht="12.75">
      <c r="A98" s="296"/>
      <c r="B98" s="296"/>
      <c r="C98" s="296"/>
      <c r="D98" s="296"/>
      <c r="E98" s="296"/>
      <c r="F98" s="296"/>
      <c r="G98" s="296"/>
    </row>
    <row r="99" ht="15" thickBot="1">
      <c r="A99" s="254" t="s">
        <v>110</v>
      </c>
    </row>
    <row r="100" spans="1:7" ht="26.25" customHeight="1" thickBot="1">
      <c r="A100" s="279" t="s">
        <v>37</v>
      </c>
      <c r="B100" s="297" t="s">
        <v>38</v>
      </c>
      <c r="C100" s="298"/>
      <c r="D100" s="299" t="s">
        <v>39</v>
      </c>
      <c r="E100" s="280" t="s">
        <v>207</v>
      </c>
      <c r="F100" s="280" t="s">
        <v>58</v>
      </c>
      <c r="G100" s="280" t="s">
        <v>59</v>
      </c>
    </row>
    <row r="101" spans="1:7" ht="15" customHeight="1">
      <c r="A101" s="272" t="s">
        <v>9</v>
      </c>
      <c r="B101" s="634" t="s">
        <v>111</v>
      </c>
      <c r="C101" s="634"/>
      <c r="D101" s="300" t="s">
        <v>91</v>
      </c>
      <c r="E101" s="300"/>
      <c r="F101" s="300"/>
      <c r="G101" s="272">
        <f>E101*F101</f>
        <v>0</v>
      </c>
    </row>
    <row r="102" spans="1:7" ht="15" customHeight="1">
      <c r="A102" s="260" t="s">
        <v>45</v>
      </c>
      <c r="B102" s="633" t="s">
        <v>112</v>
      </c>
      <c r="C102" s="633"/>
      <c r="D102" s="289" t="s">
        <v>91</v>
      </c>
      <c r="E102" s="289"/>
      <c r="F102" s="289"/>
      <c r="G102" s="260">
        <f>E102*F102</f>
        <v>0</v>
      </c>
    </row>
    <row r="103" spans="1:7" ht="15" customHeight="1">
      <c r="A103" s="260" t="s">
        <v>14</v>
      </c>
      <c r="B103" s="633" t="s">
        <v>113</v>
      </c>
      <c r="C103" s="633"/>
      <c r="D103" s="289" t="s">
        <v>91</v>
      </c>
      <c r="E103" s="289"/>
      <c r="F103" s="289"/>
      <c r="G103" s="260">
        <f>E103*F103</f>
        <v>0</v>
      </c>
    </row>
    <row r="104" spans="1:7" ht="15" customHeight="1">
      <c r="A104" s="260" t="s">
        <v>49</v>
      </c>
      <c r="B104" s="633" t="s">
        <v>94</v>
      </c>
      <c r="C104" s="633"/>
      <c r="D104" s="289"/>
      <c r="E104" s="289"/>
      <c r="F104" s="289"/>
      <c r="G104" s="289"/>
    </row>
    <row r="105" spans="1:7" ht="15" customHeight="1">
      <c r="A105" s="260"/>
      <c r="B105" s="636" t="s">
        <v>95</v>
      </c>
      <c r="C105" s="636"/>
      <c r="D105" s="289" t="s">
        <v>96</v>
      </c>
      <c r="E105" s="289"/>
      <c r="F105" s="289"/>
      <c r="G105" s="289"/>
    </row>
    <row r="106" spans="1:7" ht="15" customHeight="1">
      <c r="A106" s="260"/>
      <c r="B106" s="636" t="s">
        <v>97</v>
      </c>
      <c r="C106" s="636"/>
      <c r="D106" s="289" t="s">
        <v>91</v>
      </c>
      <c r="E106" s="289"/>
      <c r="F106" s="289"/>
      <c r="G106" s="289"/>
    </row>
    <row r="107" spans="1:7" ht="15" customHeight="1">
      <c r="A107" s="260"/>
      <c r="B107" s="636" t="s">
        <v>114</v>
      </c>
      <c r="C107" s="636"/>
      <c r="D107" s="289" t="s">
        <v>85</v>
      </c>
      <c r="E107" s="289"/>
      <c r="F107" s="289"/>
      <c r="G107" s="289">
        <f>E105*E106*F107</f>
        <v>0</v>
      </c>
    </row>
    <row r="108" spans="1:7" ht="15" customHeight="1">
      <c r="A108" s="260" t="s">
        <v>19</v>
      </c>
      <c r="B108" s="635" t="s">
        <v>115</v>
      </c>
      <c r="C108" s="635"/>
      <c r="D108" s="289"/>
      <c r="E108" s="289"/>
      <c r="F108" s="289"/>
      <c r="G108" s="289"/>
    </row>
    <row r="109" spans="1:7" ht="15" customHeight="1">
      <c r="A109" s="260"/>
      <c r="B109" s="636" t="s">
        <v>116</v>
      </c>
      <c r="C109" s="636"/>
      <c r="D109" s="289" t="s">
        <v>117</v>
      </c>
      <c r="E109" s="289"/>
      <c r="F109" s="289"/>
      <c r="G109" s="289"/>
    </row>
    <row r="110" spans="1:7" ht="15" customHeight="1">
      <c r="A110" s="260"/>
      <c r="B110" s="636" t="s">
        <v>118</v>
      </c>
      <c r="C110" s="636"/>
      <c r="D110" s="289" t="s">
        <v>85</v>
      </c>
      <c r="E110" s="289"/>
      <c r="F110" s="293"/>
      <c r="G110" s="290">
        <f>E109*E110*F110</f>
        <v>0</v>
      </c>
    </row>
    <row r="111" spans="1:7" ht="15" customHeight="1">
      <c r="A111" s="260" t="s">
        <v>54</v>
      </c>
      <c r="B111" s="635" t="s">
        <v>119</v>
      </c>
      <c r="C111" s="635"/>
      <c r="D111" s="289"/>
      <c r="E111" s="289"/>
      <c r="F111" s="289"/>
      <c r="G111" s="289"/>
    </row>
    <row r="112" spans="1:7" ht="15" customHeight="1">
      <c r="A112" s="260"/>
      <c r="B112" s="636" t="s">
        <v>120</v>
      </c>
      <c r="C112" s="636"/>
      <c r="D112" s="289" t="s">
        <v>117</v>
      </c>
      <c r="E112" s="289"/>
      <c r="F112" s="289"/>
      <c r="G112" s="289"/>
    </row>
    <row r="113" spans="1:7" ht="15" customHeight="1">
      <c r="A113" s="260"/>
      <c r="B113" s="636" t="s">
        <v>121</v>
      </c>
      <c r="C113" s="636"/>
      <c r="D113" s="289" t="s">
        <v>85</v>
      </c>
      <c r="E113" s="289"/>
      <c r="F113" s="289"/>
      <c r="G113" s="289">
        <f>E112*E113*F113</f>
        <v>0</v>
      </c>
    </row>
    <row r="114" spans="1:7" ht="15" customHeight="1">
      <c r="A114" s="260" t="s">
        <v>22</v>
      </c>
      <c r="B114" s="635" t="s">
        <v>99</v>
      </c>
      <c r="C114" s="635"/>
      <c r="D114" s="289"/>
      <c r="E114" s="289"/>
      <c r="F114" s="289"/>
      <c r="G114" s="289"/>
    </row>
    <row r="115" spans="1:7" ht="15" customHeight="1">
      <c r="A115" s="260"/>
      <c r="B115" s="636" t="s">
        <v>97</v>
      </c>
      <c r="C115" s="636"/>
      <c r="D115" s="289" t="s">
        <v>91</v>
      </c>
      <c r="E115" s="290"/>
      <c r="F115" s="289"/>
      <c r="G115" s="289"/>
    </row>
    <row r="116" spans="1:7" ht="15" customHeight="1">
      <c r="A116" s="260"/>
      <c r="B116" s="636" t="s">
        <v>102</v>
      </c>
      <c r="C116" s="636"/>
      <c r="D116" s="289" t="s">
        <v>85</v>
      </c>
      <c r="E116" s="289"/>
      <c r="F116" s="289"/>
      <c r="G116" s="289">
        <f>E115*F116</f>
        <v>0</v>
      </c>
    </row>
    <row r="117" spans="1:7" ht="14.25" customHeight="1">
      <c r="A117" s="260" t="s">
        <v>72</v>
      </c>
      <c r="B117" s="635" t="s">
        <v>400</v>
      </c>
      <c r="C117" s="635"/>
      <c r="D117" s="289"/>
      <c r="E117" s="289"/>
      <c r="F117" s="289"/>
      <c r="G117" s="289"/>
    </row>
    <row r="118" spans="1:7" ht="15" customHeight="1">
      <c r="A118" s="301"/>
      <c r="B118" s="636" t="s">
        <v>116</v>
      </c>
      <c r="C118" s="636"/>
      <c r="D118" s="289" t="s">
        <v>117</v>
      </c>
      <c r="E118" s="289"/>
      <c r="F118" s="289"/>
      <c r="G118" s="289"/>
    </row>
    <row r="119" spans="1:7" ht="15" customHeight="1">
      <c r="A119" s="301"/>
      <c r="B119" s="636" t="s">
        <v>118</v>
      </c>
      <c r="C119" s="636"/>
      <c r="D119" s="289" t="s">
        <v>85</v>
      </c>
      <c r="E119" s="289"/>
      <c r="F119" s="293"/>
      <c r="G119" s="290">
        <f>E118*E119*F119</f>
        <v>0</v>
      </c>
    </row>
    <row r="120" spans="1:7" ht="18.75" customHeight="1">
      <c r="A120" s="260"/>
      <c r="B120" s="631" t="s">
        <v>123</v>
      </c>
      <c r="C120" s="632"/>
      <c r="D120" s="260"/>
      <c r="E120" s="261"/>
      <c r="F120" s="260"/>
      <c r="G120" s="263">
        <f>SUM(G101:G119)</f>
        <v>0</v>
      </c>
    </row>
    <row r="121" ht="18.75" customHeight="1">
      <c r="A121" s="245"/>
    </row>
    <row r="122" ht="18.75" customHeight="1">
      <c r="A122" s="254" t="s">
        <v>124</v>
      </c>
    </row>
    <row r="123" ht="15" thickBot="1">
      <c r="A123" s="254"/>
    </row>
    <row r="124" spans="1:9" ht="29.25" customHeight="1" thickBot="1">
      <c r="A124" s="279" t="s">
        <v>37</v>
      </c>
      <c r="B124" s="297" t="s">
        <v>38</v>
      </c>
      <c r="C124" s="298"/>
      <c r="D124" s="299" t="s">
        <v>39</v>
      </c>
      <c r="E124" s="302" t="s">
        <v>207</v>
      </c>
      <c r="F124" s="280" t="s">
        <v>58</v>
      </c>
      <c r="G124" s="280" t="s">
        <v>59</v>
      </c>
      <c r="H124" s="303"/>
      <c r="I124" s="304"/>
    </row>
    <row r="125" spans="1:9" ht="15" customHeight="1">
      <c r="A125" s="272" t="s">
        <v>9</v>
      </c>
      <c r="B125" s="634" t="s">
        <v>401</v>
      </c>
      <c r="C125" s="634"/>
      <c r="D125" s="300" t="s">
        <v>96</v>
      </c>
      <c r="E125" s="300"/>
      <c r="F125" s="300"/>
      <c r="G125" s="300"/>
      <c r="H125" s="266"/>
      <c r="I125" s="304"/>
    </row>
    <row r="126" spans="1:9" ht="15" customHeight="1">
      <c r="A126" s="260" t="s">
        <v>45</v>
      </c>
      <c r="B126" s="633" t="s">
        <v>126</v>
      </c>
      <c r="C126" s="633"/>
      <c r="D126" s="289" t="s">
        <v>127</v>
      </c>
      <c r="E126" s="289"/>
      <c r="F126" s="289"/>
      <c r="G126" s="289"/>
      <c r="H126" s="266"/>
      <c r="I126" s="304"/>
    </row>
    <row r="127" spans="1:9" ht="16.5" customHeight="1">
      <c r="A127" s="260" t="s">
        <v>14</v>
      </c>
      <c r="B127" s="633" t="s">
        <v>128</v>
      </c>
      <c r="C127" s="633"/>
      <c r="D127" s="289" t="s">
        <v>91</v>
      </c>
      <c r="E127" s="289"/>
      <c r="F127" s="293"/>
      <c r="G127" s="290">
        <f>E125*E127*F127</f>
        <v>0</v>
      </c>
      <c r="H127" s="266"/>
      <c r="I127" s="304"/>
    </row>
    <row r="128" spans="1:9" ht="14.25" customHeight="1">
      <c r="A128" s="260" t="s">
        <v>49</v>
      </c>
      <c r="B128" s="633" t="s">
        <v>130</v>
      </c>
      <c r="C128" s="633"/>
      <c r="D128" s="289" t="s">
        <v>131</v>
      </c>
      <c r="E128" s="289"/>
      <c r="F128" s="289"/>
      <c r="G128" s="290"/>
      <c r="H128" s="266"/>
      <c r="I128" s="304"/>
    </row>
    <row r="129" spans="1:9" ht="15" customHeight="1">
      <c r="A129" s="260"/>
      <c r="B129" s="633" t="s">
        <v>132</v>
      </c>
      <c r="C129" s="633"/>
      <c r="D129" s="289" t="s">
        <v>131</v>
      </c>
      <c r="E129" s="289"/>
      <c r="F129" s="289"/>
      <c r="G129" s="290">
        <f>E129*F129</f>
        <v>0</v>
      </c>
      <c r="H129" s="266"/>
      <c r="I129" s="304"/>
    </row>
    <row r="130" spans="1:9" ht="15">
      <c r="A130" s="260"/>
      <c r="B130" s="633" t="s">
        <v>133</v>
      </c>
      <c r="C130" s="633"/>
      <c r="D130" s="289" t="s">
        <v>131</v>
      </c>
      <c r="E130" s="292"/>
      <c r="F130" s="289"/>
      <c r="G130" s="290">
        <f>E130*F130</f>
        <v>0</v>
      </c>
      <c r="H130" s="266"/>
      <c r="I130" s="304"/>
    </row>
    <row r="131" spans="1:9" ht="15">
      <c r="A131" s="260"/>
      <c r="B131" s="633" t="s">
        <v>134</v>
      </c>
      <c r="C131" s="633"/>
      <c r="D131" s="289" t="s">
        <v>131</v>
      </c>
      <c r="E131" s="289"/>
      <c r="F131" s="289"/>
      <c r="G131" s="312">
        <f>E131*F131</f>
        <v>0</v>
      </c>
      <c r="H131" s="266"/>
      <c r="I131" s="304"/>
    </row>
    <row r="132" spans="1:9" ht="15">
      <c r="A132" s="260"/>
      <c r="B132" s="631" t="s">
        <v>135</v>
      </c>
      <c r="C132" s="632"/>
      <c r="D132" s="260"/>
      <c r="E132" s="261"/>
      <c r="F132" s="260"/>
      <c r="G132" s="263">
        <f>SUM(G125:G131)</f>
        <v>0</v>
      </c>
      <c r="H132" s="266"/>
      <c r="I132" s="304"/>
    </row>
    <row r="133" spans="1:9" ht="12.75">
      <c r="A133" s="296"/>
      <c r="B133" s="296"/>
      <c r="C133" s="296"/>
      <c r="D133" s="296"/>
      <c r="E133" s="296"/>
      <c r="F133" s="296"/>
      <c r="G133" s="296"/>
      <c r="H133" s="296"/>
      <c r="I133" s="296"/>
    </row>
    <row r="134" ht="15" thickBot="1">
      <c r="A134" s="254" t="s">
        <v>136</v>
      </c>
    </row>
    <row r="135" spans="1:7" ht="28.5" customHeight="1" thickBot="1">
      <c r="A135" s="279" t="s">
        <v>37</v>
      </c>
      <c r="B135" s="297" t="s">
        <v>38</v>
      </c>
      <c r="C135" s="298"/>
      <c r="D135" s="280" t="s">
        <v>39</v>
      </c>
      <c r="E135" s="280" t="s">
        <v>207</v>
      </c>
      <c r="F135" s="280" t="s">
        <v>58</v>
      </c>
      <c r="G135" s="280" t="s">
        <v>59</v>
      </c>
    </row>
    <row r="136" spans="1:7" ht="14.25" customHeight="1">
      <c r="A136" s="272" t="s">
        <v>9</v>
      </c>
      <c r="B136" s="634" t="s">
        <v>137</v>
      </c>
      <c r="C136" s="634"/>
      <c r="D136" s="272"/>
      <c r="E136" s="300"/>
      <c r="F136" s="300"/>
      <c r="G136" s="300"/>
    </row>
    <row r="137" spans="1:7" ht="14.25" customHeight="1">
      <c r="A137" s="260" t="s">
        <v>45</v>
      </c>
      <c r="B137" s="633" t="s">
        <v>139</v>
      </c>
      <c r="C137" s="633"/>
      <c r="D137" s="648"/>
      <c r="E137" s="648"/>
      <c r="F137" s="648"/>
      <c r="G137" s="648"/>
    </row>
    <row r="138" spans="1:7" ht="14.25" customHeight="1">
      <c r="A138" s="260" t="s">
        <v>14</v>
      </c>
      <c r="B138" s="633" t="s">
        <v>140</v>
      </c>
      <c r="C138" s="633"/>
      <c r="D138" s="648"/>
      <c r="E138" s="648"/>
      <c r="F138" s="648"/>
      <c r="G138" s="648"/>
    </row>
    <row r="139" spans="1:7" ht="15" customHeight="1">
      <c r="A139" s="260" t="s">
        <v>49</v>
      </c>
      <c r="B139" s="633" t="s">
        <v>141</v>
      </c>
      <c r="C139" s="633"/>
      <c r="D139" s="260" t="s">
        <v>402</v>
      </c>
      <c r="E139" s="289"/>
      <c r="F139" s="289"/>
      <c r="G139" s="289">
        <f>E139*F139*E136</f>
        <v>0</v>
      </c>
    </row>
    <row r="140" spans="1:7" ht="15" customHeight="1">
      <c r="A140" s="260" t="s">
        <v>19</v>
      </c>
      <c r="B140" s="633" t="s">
        <v>142</v>
      </c>
      <c r="C140" s="633"/>
      <c r="D140" s="260" t="s">
        <v>402</v>
      </c>
      <c r="E140" s="289"/>
      <c r="F140" s="289"/>
      <c r="G140" s="289">
        <f>E140*F140*E136</f>
        <v>0</v>
      </c>
    </row>
    <row r="141" spans="1:7" ht="15" customHeight="1">
      <c r="A141" s="260" t="s">
        <v>54</v>
      </c>
      <c r="B141" s="633" t="s">
        <v>143</v>
      </c>
      <c r="C141" s="633"/>
      <c r="D141" s="260" t="s">
        <v>85</v>
      </c>
      <c r="E141" s="289"/>
      <c r="F141" s="289"/>
      <c r="G141" s="289">
        <f>E136*F141</f>
        <v>0</v>
      </c>
    </row>
    <row r="142" spans="1:7" ht="15" customHeight="1">
      <c r="A142" s="260" t="s">
        <v>22</v>
      </c>
      <c r="B142" s="633" t="s">
        <v>144</v>
      </c>
      <c r="C142" s="633"/>
      <c r="D142" s="260" t="s">
        <v>85</v>
      </c>
      <c r="E142" s="289"/>
      <c r="F142" s="289"/>
      <c r="G142" s="289">
        <f>E136*F142</f>
        <v>0</v>
      </c>
    </row>
    <row r="143" spans="1:7" ht="15" customHeight="1">
      <c r="A143" s="260" t="s">
        <v>72</v>
      </c>
      <c r="B143" s="633" t="s">
        <v>145</v>
      </c>
      <c r="C143" s="633"/>
      <c r="D143" s="260" t="s">
        <v>85</v>
      </c>
      <c r="E143" s="289"/>
      <c r="F143" s="289"/>
      <c r="G143" s="289">
        <f>E136*F143</f>
        <v>0</v>
      </c>
    </row>
    <row r="144" spans="1:7" ht="15" customHeight="1">
      <c r="A144" s="260" t="s">
        <v>26</v>
      </c>
      <c r="B144" s="633" t="s">
        <v>146</v>
      </c>
      <c r="C144" s="633"/>
      <c r="D144" s="260" t="s">
        <v>85</v>
      </c>
      <c r="E144" s="289"/>
      <c r="F144" s="289"/>
      <c r="G144" s="289">
        <f>F144</f>
        <v>0</v>
      </c>
    </row>
    <row r="145" spans="1:7" ht="15" customHeight="1">
      <c r="A145" s="260" t="s">
        <v>31</v>
      </c>
      <c r="B145" s="633"/>
      <c r="C145" s="633"/>
      <c r="D145" s="260"/>
      <c r="E145" s="289"/>
      <c r="F145" s="289"/>
      <c r="G145" s="289"/>
    </row>
    <row r="146" spans="1:7" ht="15" customHeight="1">
      <c r="A146" s="260"/>
      <c r="B146" s="631" t="s">
        <v>147</v>
      </c>
      <c r="C146" s="632"/>
      <c r="D146" s="260"/>
      <c r="E146" s="261"/>
      <c r="F146" s="260"/>
      <c r="G146" s="263">
        <f>SUM(G139:G145)</f>
        <v>0</v>
      </c>
    </row>
    <row r="147" ht="14.25">
      <c r="A147" s="245"/>
    </row>
    <row r="148" ht="14.25">
      <c r="A148" s="245"/>
    </row>
    <row r="149" ht="14.25">
      <c r="A149" s="254" t="s">
        <v>148</v>
      </c>
    </row>
    <row r="150" ht="15" thickBot="1">
      <c r="A150" s="254"/>
    </row>
    <row r="151" spans="1:7" ht="28.5" customHeight="1" thickBot="1">
      <c r="A151" s="279" t="s">
        <v>37</v>
      </c>
      <c r="B151" s="652" t="s">
        <v>38</v>
      </c>
      <c r="C151" s="653"/>
      <c r="D151" s="299" t="s">
        <v>39</v>
      </c>
      <c r="E151" s="280" t="s">
        <v>207</v>
      </c>
      <c r="F151" s="280" t="s">
        <v>58</v>
      </c>
      <c r="G151" s="280" t="s">
        <v>59</v>
      </c>
    </row>
    <row r="152" spans="1:7" ht="14.25" customHeight="1">
      <c r="A152" s="272" t="s">
        <v>9</v>
      </c>
      <c r="B152" s="634" t="s">
        <v>149</v>
      </c>
      <c r="C152" s="634"/>
      <c r="D152" s="272" t="s">
        <v>85</v>
      </c>
      <c r="E152" s="300"/>
      <c r="F152" s="300"/>
      <c r="G152" s="300"/>
    </row>
    <row r="153" spans="1:7" ht="14.25" customHeight="1">
      <c r="A153" s="260" t="s">
        <v>45</v>
      </c>
      <c r="B153" s="633" t="s">
        <v>404</v>
      </c>
      <c r="C153" s="633"/>
      <c r="D153" s="260" t="s">
        <v>85</v>
      </c>
      <c r="E153" s="289"/>
      <c r="F153" s="289"/>
      <c r="G153" s="289"/>
    </row>
    <row r="154" spans="1:7" ht="15" customHeight="1">
      <c r="A154" s="260" t="s">
        <v>14</v>
      </c>
      <c r="B154" s="633" t="s">
        <v>405</v>
      </c>
      <c r="C154" s="633"/>
      <c r="D154" s="260" t="s">
        <v>96</v>
      </c>
      <c r="E154" s="289"/>
      <c r="F154" s="289"/>
      <c r="G154" s="289">
        <f>E154*F154</f>
        <v>0</v>
      </c>
    </row>
    <row r="155" spans="1:7" ht="14.25">
      <c r="A155" s="260" t="s">
        <v>49</v>
      </c>
      <c r="B155" s="633" t="s">
        <v>152</v>
      </c>
      <c r="C155" s="633"/>
      <c r="D155" s="260" t="s">
        <v>96</v>
      </c>
      <c r="E155" s="289"/>
      <c r="F155" s="292"/>
      <c r="G155" s="289">
        <f>E155*F155</f>
        <v>0</v>
      </c>
    </row>
    <row r="156" spans="1:7" ht="15" customHeight="1">
      <c r="A156" s="260" t="s">
        <v>19</v>
      </c>
      <c r="B156" s="633" t="s">
        <v>466</v>
      </c>
      <c r="C156" s="633"/>
      <c r="D156" s="260"/>
      <c r="E156" s="289"/>
      <c r="F156" s="289"/>
      <c r="G156" s="289">
        <v>450</v>
      </c>
    </row>
    <row r="157" spans="1:7" ht="15" customHeight="1">
      <c r="A157" s="260" t="s">
        <v>54</v>
      </c>
      <c r="B157" s="633" t="s">
        <v>154</v>
      </c>
      <c r="C157" s="633"/>
      <c r="D157" s="260"/>
      <c r="E157" s="289"/>
      <c r="F157" s="289"/>
      <c r="G157" s="289">
        <v>250</v>
      </c>
    </row>
    <row r="158" spans="1:7" ht="15" customHeight="1">
      <c r="A158" s="260" t="s">
        <v>22</v>
      </c>
      <c r="B158" s="633" t="s">
        <v>155</v>
      </c>
      <c r="C158" s="633"/>
      <c r="D158" s="260"/>
      <c r="E158" s="289"/>
      <c r="F158" s="293"/>
      <c r="G158" s="289">
        <v>100</v>
      </c>
    </row>
    <row r="159" spans="1:7" ht="15" customHeight="1">
      <c r="A159" s="260" t="s">
        <v>72</v>
      </c>
      <c r="B159" s="633" t="s">
        <v>156</v>
      </c>
      <c r="C159" s="633"/>
      <c r="D159" s="260"/>
      <c r="E159" s="289"/>
      <c r="F159" s="289"/>
      <c r="G159" s="289">
        <v>300</v>
      </c>
    </row>
    <row r="160" spans="1:7" ht="15" customHeight="1">
      <c r="A160" s="260" t="s">
        <v>26</v>
      </c>
      <c r="B160" s="633" t="s">
        <v>306</v>
      </c>
      <c r="C160" s="633"/>
      <c r="D160" s="260" t="s">
        <v>85</v>
      </c>
      <c r="E160" s="289"/>
      <c r="F160" s="289"/>
      <c r="G160" s="289"/>
    </row>
    <row r="161" spans="1:7" ht="15" customHeight="1">
      <c r="A161" s="260"/>
      <c r="B161" s="633" t="s">
        <v>467</v>
      </c>
      <c r="C161" s="633"/>
      <c r="D161" s="260"/>
      <c r="E161" s="289"/>
      <c r="F161" s="289"/>
      <c r="G161" s="290">
        <f>100/24</f>
        <v>4.166666666666667</v>
      </c>
    </row>
    <row r="162" spans="1:7" ht="15" customHeight="1">
      <c r="A162" s="260"/>
      <c r="B162" s="631" t="s">
        <v>468</v>
      </c>
      <c r="C162" s="632"/>
      <c r="D162" s="260"/>
      <c r="E162" s="289"/>
      <c r="F162" s="289"/>
      <c r="G162" s="290">
        <f>300/24</f>
        <v>12.5</v>
      </c>
    </row>
    <row r="163" spans="1:7" ht="15" customHeight="1">
      <c r="A163" s="260"/>
      <c r="B163" s="654"/>
      <c r="C163" s="655"/>
      <c r="D163" s="260"/>
      <c r="E163" s="289"/>
      <c r="F163" s="289"/>
      <c r="G163" s="289">
        <f>E163*F163</f>
        <v>0</v>
      </c>
    </row>
    <row r="164" spans="1:7" ht="15" customHeight="1">
      <c r="A164" s="260"/>
      <c r="B164" s="631" t="s">
        <v>158</v>
      </c>
      <c r="C164" s="632"/>
      <c r="D164" s="260"/>
      <c r="E164" s="261"/>
      <c r="F164" s="260"/>
      <c r="G164" s="263">
        <f>SUM(G152:G163)</f>
        <v>1116.6666666666667</v>
      </c>
    </row>
    <row r="165" ht="14.25">
      <c r="A165" s="245"/>
    </row>
    <row r="166" ht="14.25">
      <c r="A166" s="254" t="s">
        <v>159</v>
      </c>
    </row>
    <row r="167" ht="15" thickBot="1">
      <c r="A167" s="254"/>
    </row>
    <row r="168" spans="1:7" ht="28.5" customHeight="1">
      <c r="A168" s="637" t="s">
        <v>37</v>
      </c>
      <c r="B168" s="642" t="s">
        <v>38</v>
      </c>
      <c r="C168" s="643"/>
      <c r="D168" s="255" t="s">
        <v>39</v>
      </c>
      <c r="E168" s="256" t="s">
        <v>207</v>
      </c>
      <c r="F168" s="256" t="s">
        <v>58</v>
      </c>
      <c r="G168" s="256" t="s">
        <v>59</v>
      </c>
    </row>
    <row r="169" spans="1:7" ht="15" customHeight="1" thickBot="1">
      <c r="A169" s="638"/>
      <c r="B169" s="644"/>
      <c r="C169" s="645"/>
      <c r="D169" s="257"/>
      <c r="E169" s="258"/>
      <c r="F169" s="258"/>
      <c r="G169" s="258"/>
    </row>
    <row r="170" spans="1:7" ht="15" customHeight="1">
      <c r="A170" s="272" t="s">
        <v>9</v>
      </c>
      <c r="B170" s="646" t="s">
        <v>160</v>
      </c>
      <c r="C170" s="647"/>
      <c r="D170" s="272" t="s">
        <v>85</v>
      </c>
      <c r="E170" s="272"/>
      <c r="F170" s="272"/>
      <c r="G170" s="272">
        <f>E170*F170</f>
        <v>0</v>
      </c>
    </row>
    <row r="171" spans="1:7" ht="15" customHeight="1">
      <c r="A171" s="260"/>
      <c r="B171" s="658"/>
      <c r="C171" s="658"/>
      <c r="D171" s="260"/>
      <c r="E171" s="260"/>
      <c r="F171" s="260"/>
      <c r="G171" s="260"/>
    </row>
    <row r="172" spans="1:7" ht="15" customHeight="1">
      <c r="A172" s="260"/>
      <c r="B172" s="631" t="s">
        <v>161</v>
      </c>
      <c r="C172" s="632"/>
      <c r="D172" s="260"/>
      <c r="E172" s="260"/>
      <c r="F172" s="260"/>
      <c r="G172" s="260">
        <f>SUM(G170:G171)</f>
        <v>0</v>
      </c>
    </row>
    <row r="173" ht="15" customHeight="1">
      <c r="A173" s="245"/>
    </row>
    <row r="174" ht="14.25">
      <c r="A174" s="254" t="s">
        <v>162</v>
      </c>
    </row>
    <row r="175" ht="15" thickBot="1">
      <c r="A175" s="254"/>
    </row>
    <row r="176" spans="1:7" ht="28.5" customHeight="1" thickBot="1">
      <c r="A176" s="279" t="s">
        <v>37</v>
      </c>
      <c r="B176" s="652" t="s">
        <v>38</v>
      </c>
      <c r="C176" s="653"/>
      <c r="D176" s="299" t="s">
        <v>39</v>
      </c>
      <c r="E176" s="280" t="s">
        <v>207</v>
      </c>
      <c r="F176" s="280" t="s">
        <v>58</v>
      </c>
      <c r="G176" s="280" t="s">
        <v>59</v>
      </c>
    </row>
    <row r="177" spans="1:7" ht="14.25" customHeight="1">
      <c r="A177" s="272" t="s">
        <v>9</v>
      </c>
      <c r="B177" s="634" t="s">
        <v>163</v>
      </c>
      <c r="C177" s="634"/>
      <c r="D177" s="272"/>
      <c r="E177" s="272"/>
      <c r="F177" s="272"/>
      <c r="G177" s="272"/>
    </row>
    <row r="178" spans="1:7" ht="14.25" customHeight="1">
      <c r="A178" s="260"/>
      <c r="B178" s="633" t="s">
        <v>164</v>
      </c>
      <c r="C178" s="633"/>
      <c r="D178" s="260" t="s">
        <v>165</v>
      </c>
      <c r="E178" s="289"/>
      <c r="F178" s="289"/>
      <c r="G178" s="289">
        <f>E178*F178</f>
        <v>0</v>
      </c>
    </row>
    <row r="179" spans="1:7" ht="14.25" customHeight="1">
      <c r="A179" s="260"/>
      <c r="B179" s="633" t="s">
        <v>167</v>
      </c>
      <c r="C179" s="633"/>
      <c r="D179" s="260" t="s">
        <v>165</v>
      </c>
      <c r="E179" s="289"/>
      <c r="F179" s="289"/>
      <c r="G179" s="289">
        <f>E179*F179</f>
        <v>0</v>
      </c>
    </row>
    <row r="180" spans="1:7" ht="14.25" customHeight="1">
      <c r="A180" s="260"/>
      <c r="B180" s="633" t="s">
        <v>168</v>
      </c>
      <c r="C180" s="633"/>
      <c r="D180" s="260" t="s">
        <v>165</v>
      </c>
      <c r="E180" s="293" t="s">
        <v>235</v>
      </c>
      <c r="F180" s="289">
        <v>49</v>
      </c>
      <c r="G180" s="290">
        <f>20*F180</f>
        <v>980</v>
      </c>
    </row>
    <row r="181" spans="1:7" ht="29.25" customHeight="1">
      <c r="A181" s="260" t="s">
        <v>45</v>
      </c>
      <c r="B181" s="633" t="s">
        <v>170</v>
      </c>
      <c r="C181" s="633"/>
      <c r="D181" s="260" t="s">
        <v>165</v>
      </c>
      <c r="E181" s="289"/>
      <c r="F181" s="292"/>
      <c r="G181" s="289">
        <f>E181*F181</f>
        <v>0</v>
      </c>
    </row>
    <row r="182" spans="1:7" ht="15" customHeight="1">
      <c r="A182" s="260" t="s">
        <v>14</v>
      </c>
      <c r="B182" s="633" t="s">
        <v>171</v>
      </c>
      <c r="C182" s="633"/>
      <c r="D182" s="260" t="s">
        <v>85</v>
      </c>
      <c r="E182" s="289"/>
      <c r="F182" s="289"/>
      <c r="G182" s="289">
        <f>E182*F182</f>
        <v>0</v>
      </c>
    </row>
    <row r="183" spans="1:9" ht="15" customHeight="1">
      <c r="A183" s="260" t="s">
        <v>49</v>
      </c>
      <c r="B183" s="633" t="s">
        <v>172</v>
      </c>
      <c r="C183" s="633"/>
      <c r="D183" s="260" t="s">
        <v>91</v>
      </c>
      <c r="E183" s="289" t="s">
        <v>290</v>
      </c>
      <c r="F183" s="322">
        <f>23700*1.265/722.42</f>
        <v>41.500096896542175</v>
      </c>
      <c r="G183" s="323">
        <f>5/60*F183</f>
        <v>3.458341408045181</v>
      </c>
      <c r="H183" s="324"/>
      <c r="I183" s="324" t="s">
        <v>173</v>
      </c>
    </row>
    <row r="184" spans="1:7" ht="15" customHeight="1">
      <c r="A184" s="260" t="s">
        <v>19</v>
      </c>
      <c r="B184" s="633" t="s">
        <v>174</v>
      </c>
      <c r="C184" s="633"/>
      <c r="D184" s="260" t="s">
        <v>43</v>
      </c>
      <c r="E184" s="289"/>
      <c r="F184" s="292"/>
      <c r="G184" s="290"/>
    </row>
    <row r="185" spans="1:9" ht="14.25" customHeight="1">
      <c r="A185" s="260" t="s">
        <v>54</v>
      </c>
      <c r="B185" s="633" t="s">
        <v>432</v>
      </c>
      <c r="C185" s="633"/>
      <c r="D185" s="260" t="s">
        <v>43</v>
      </c>
      <c r="E185" s="306">
        <f>2/24</f>
        <v>0.08333333333333333</v>
      </c>
      <c r="F185" s="322">
        <f>16900*1.265/210</f>
        <v>101.80238095238096</v>
      </c>
      <c r="G185" s="290">
        <f>E185*F185</f>
        <v>8.483531746031746</v>
      </c>
      <c r="I185" s="325" t="s">
        <v>415</v>
      </c>
    </row>
    <row r="186" spans="1:7" ht="14.25" customHeight="1">
      <c r="A186" s="260" t="s">
        <v>22</v>
      </c>
      <c r="B186" s="633" t="s">
        <v>176</v>
      </c>
      <c r="C186" s="633"/>
      <c r="D186" s="260" t="s">
        <v>43</v>
      </c>
      <c r="E186" s="307"/>
      <c r="F186" s="289"/>
      <c r="G186" s="289">
        <f>E186*F186</f>
        <v>0</v>
      </c>
    </row>
    <row r="187" spans="1:7" ht="15" customHeight="1">
      <c r="A187" s="260" t="s">
        <v>72</v>
      </c>
      <c r="B187" s="633" t="s">
        <v>209</v>
      </c>
      <c r="C187" s="633"/>
      <c r="D187" s="260" t="s">
        <v>85</v>
      </c>
      <c r="E187" s="289"/>
      <c r="F187" s="289"/>
      <c r="G187" s="289">
        <f>E187*F187</f>
        <v>0</v>
      </c>
    </row>
    <row r="188" spans="1:7" ht="15" customHeight="1">
      <c r="A188" s="260"/>
      <c r="B188" s="631" t="s">
        <v>177</v>
      </c>
      <c r="C188" s="632"/>
      <c r="D188" s="260"/>
      <c r="E188" s="260"/>
      <c r="F188" s="260"/>
      <c r="G188" s="263">
        <f>SUM(G178:G187)</f>
        <v>991.9418731540769</v>
      </c>
    </row>
    <row r="189" ht="13.5" customHeight="1">
      <c r="A189" s="245"/>
    </row>
    <row r="190" ht="14.25">
      <c r="A190" s="254" t="s">
        <v>178</v>
      </c>
    </row>
    <row r="191" ht="15" thickBot="1">
      <c r="A191" s="254"/>
    </row>
    <row r="192" spans="1:7" ht="28.5" customHeight="1" thickBot="1">
      <c r="A192" s="279" t="s">
        <v>37</v>
      </c>
      <c r="B192" s="652" t="s">
        <v>38</v>
      </c>
      <c r="C192" s="653"/>
      <c r="D192" s="299" t="s">
        <v>39</v>
      </c>
      <c r="E192" s="280" t="s">
        <v>207</v>
      </c>
      <c r="F192" s="280" t="s">
        <v>58</v>
      </c>
      <c r="G192" s="280" t="s">
        <v>59</v>
      </c>
    </row>
    <row r="193" spans="1:7" ht="15" customHeight="1">
      <c r="A193" s="272" t="s">
        <v>9</v>
      </c>
      <c r="B193" s="634" t="s">
        <v>179</v>
      </c>
      <c r="C193" s="634"/>
      <c r="D193" s="272" t="s">
        <v>180</v>
      </c>
      <c r="E193" s="300"/>
      <c r="F193" s="333"/>
      <c r="G193" s="311">
        <f>E193*F193</f>
        <v>0</v>
      </c>
    </row>
    <row r="194" spans="1:7" ht="15" customHeight="1">
      <c r="A194" s="260" t="s">
        <v>45</v>
      </c>
      <c r="B194" s="633" t="s">
        <v>181</v>
      </c>
      <c r="C194" s="633"/>
      <c r="D194" s="260" t="s">
        <v>180</v>
      </c>
      <c r="E194" s="289"/>
      <c r="F194" s="289"/>
      <c r="G194" s="289">
        <f>E194*F194</f>
        <v>0</v>
      </c>
    </row>
    <row r="195" spans="1:7" ht="15" customHeight="1">
      <c r="A195" s="260" t="s">
        <v>14</v>
      </c>
      <c r="B195" s="633" t="s">
        <v>182</v>
      </c>
      <c r="C195" s="633"/>
      <c r="D195" s="260" t="s">
        <v>180</v>
      </c>
      <c r="E195" s="289"/>
      <c r="F195" s="293"/>
      <c r="G195" s="290"/>
    </row>
    <row r="196" spans="1:7" ht="15" customHeight="1">
      <c r="A196" s="260" t="s">
        <v>49</v>
      </c>
      <c r="B196" s="633" t="s">
        <v>455</v>
      </c>
      <c r="C196" s="633"/>
      <c r="D196" s="260" t="s">
        <v>180</v>
      </c>
      <c r="E196" s="260"/>
      <c r="F196" s="293"/>
      <c r="G196" s="290"/>
    </row>
    <row r="197" spans="1:7" ht="15" customHeight="1">
      <c r="A197" s="260"/>
      <c r="B197" s="631" t="s">
        <v>183</v>
      </c>
      <c r="C197" s="632"/>
      <c r="D197" s="260"/>
      <c r="E197" s="260"/>
      <c r="F197" s="260"/>
      <c r="G197" s="263">
        <f>SUM(G193:G196)</f>
        <v>0</v>
      </c>
    </row>
    <row r="198" ht="14.25">
      <c r="A198" s="245"/>
    </row>
    <row r="199" ht="14.25">
      <c r="A199" s="245"/>
    </row>
    <row r="200" ht="14.25">
      <c r="A200" s="245" t="s">
        <v>184</v>
      </c>
    </row>
    <row r="201" ht="15" thickBot="1">
      <c r="A201" s="245"/>
    </row>
    <row r="202" spans="1:7" ht="28.5" customHeight="1" thickBot="1">
      <c r="A202" s="279" t="s">
        <v>37</v>
      </c>
      <c r="B202" s="652" t="s">
        <v>38</v>
      </c>
      <c r="C202" s="653"/>
      <c r="D202" s="299" t="s">
        <v>39</v>
      </c>
      <c r="E202" s="280" t="s">
        <v>210</v>
      </c>
      <c r="F202" s="280" t="s">
        <v>58</v>
      </c>
      <c r="G202" s="280" t="s">
        <v>59</v>
      </c>
    </row>
    <row r="203" spans="1:7" ht="15" customHeight="1">
      <c r="A203" s="272" t="s">
        <v>9</v>
      </c>
      <c r="B203" s="634" t="s">
        <v>185</v>
      </c>
      <c r="C203" s="634"/>
      <c r="D203" s="272" t="s">
        <v>85</v>
      </c>
      <c r="E203" s="300">
        <v>0.67</v>
      </c>
      <c r="F203" s="300">
        <v>32.6</v>
      </c>
      <c r="G203" s="311">
        <f>E203*F203</f>
        <v>21.842000000000002</v>
      </c>
    </row>
    <row r="204" spans="1:10" ht="14.25" customHeight="1">
      <c r="A204" s="260" t="s">
        <v>45</v>
      </c>
      <c r="B204" s="633" t="s">
        <v>186</v>
      </c>
      <c r="C204" s="633"/>
      <c r="D204" s="260" t="s">
        <v>85</v>
      </c>
      <c r="E204" s="114"/>
      <c r="F204" s="44">
        <f>(1151.55+210.41+5.7+145.58)*1.2</f>
        <v>1815.888</v>
      </c>
      <c r="G204" s="103">
        <f>F204*E203</f>
        <v>1216.64496</v>
      </c>
      <c r="H204" s="65"/>
      <c r="I204" s="65"/>
      <c r="J204" s="65"/>
    </row>
    <row r="205" spans="1:10" ht="14.25" customHeight="1">
      <c r="A205" s="260" t="s">
        <v>14</v>
      </c>
      <c r="B205" s="633" t="s">
        <v>187</v>
      </c>
      <c r="C205" s="633"/>
      <c r="D205" s="260" t="s">
        <v>85</v>
      </c>
      <c r="E205" s="114"/>
      <c r="F205" s="114"/>
      <c r="G205" s="114"/>
      <c r="H205" s="65"/>
      <c r="I205" s="65"/>
      <c r="J205" s="65"/>
    </row>
    <row r="206" spans="1:10" ht="14.25">
      <c r="A206" s="260" t="s">
        <v>49</v>
      </c>
      <c r="B206" s="633" t="s">
        <v>188</v>
      </c>
      <c r="C206" s="633"/>
      <c r="D206" s="260" t="s">
        <v>85</v>
      </c>
      <c r="E206" s="114"/>
      <c r="F206" s="114"/>
      <c r="G206" s="114"/>
      <c r="H206" s="65"/>
      <c r="I206" s="65"/>
      <c r="J206" s="65"/>
    </row>
    <row r="207" spans="1:10" ht="15" customHeight="1">
      <c r="A207" s="260" t="s">
        <v>19</v>
      </c>
      <c r="B207" s="633" t="s">
        <v>407</v>
      </c>
      <c r="C207" s="633"/>
      <c r="D207" s="260" t="s">
        <v>85</v>
      </c>
      <c r="E207" s="114"/>
      <c r="F207" s="114"/>
      <c r="G207" s="114"/>
      <c r="H207" s="65"/>
      <c r="I207" s="65"/>
      <c r="J207" s="65"/>
    </row>
    <row r="208" spans="1:10" ht="15" customHeight="1">
      <c r="A208" s="260" t="s">
        <v>54</v>
      </c>
      <c r="B208" s="633" t="s">
        <v>190</v>
      </c>
      <c r="C208" s="633"/>
      <c r="D208" s="260" t="s">
        <v>101</v>
      </c>
      <c r="E208" s="241">
        <f>J208/F208</f>
        <v>24.2202655448967</v>
      </c>
      <c r="F208" s="43">
        <v>1.68</v>
      </c>
      <c r="G208" s="240">
        <f>E208*F208</f>
        <v>40.690046115426455</v>
      </c>
      <c r="H208" s="54"/>
      <c r="I208" s="448">
        <f>1288300*0.4/8485.23</f>
        <v>60.7314121125768</v>
      </c>
      <c r="J208" s="448">
        <f>I208*E203</f>
        <v>40.690046115426455</v>
      </c>
    </row>
    <row r="209" spans="1:10" ht="15" customHeight="1">
      <c r="A209" s="260" t="s">
        <v>22</v>
      </c>
      <c r="B209" s="633" t="s">
        <v>191</v>
      </c>
      <c r="C209" s="633"/>
      <c r="D209" s="260" t="s">
        <v>192</v>
      </c>
      <c r="E209" s="446">
        <f>J209/F209</f>
        <v>0.13478125511523423</v>
      </c>
      <c r="F209" s="43">
        <f>987*1.2</f>
        <v>1184.3999999999999</v>
      </c>
      <c r="G209" s="240">
        <f>E209*F209</f>
        <v>159.6349185584834</v>
      </c>
      <c r="H209" s="54"/>
      <c r="I209" s="448">
        <f>2021700/8485.23</f>
        <v>238.26107247534836</v>
      </c>
      <c r="J209" s="448">
        <f>I209*E203</f>
        <v>159.6349185584834</v>
      </c>
    </row>
    <row r="210" spans="1:10" ht="15" customHeight="1">
      <c r="A210" s="260" t="s">
        <v>72</v>
      </c>
      <c r="B210" s="633" t="s">
        <v>193</v>
      </c>
      <c r="C210" s="633"/>
      <c r="D210" s="260" t="s">
        <v>85</v>
      </c>
      <c r="E210" s="447"/>
      <c r="F210" s="241">
        <f>(229000+16300)/8485.23</f>
        <v>28.909057267746427</v>
      </c>
      <c r="G210" s="240">
        <f>F210*E203</f>
        <v>19.369068369390106</v>
      </c>
      <c r="H210" s="54"/>
      <c r="I210" s="54"/>
      <c r="J210" s="54"/>
    </row>
    <row r="211" spans="1:10" ht="14.25" customHeight="1">
      <c r="A211" s="260" t="s">
        <v>26</v>
      </c>
      <c r="B211" s="633" t="s">
        <v>194</v>
      </c>
      <c r="C211" s="633"/>
      <c r="D211" s="260" t="s">
        <v>85</v>
      </c>
      <c r="E211" s="447"/>
      <c r="F211" s="43">
        <v>2693.4</v>
      </c>
      <c r="G211" s="240">
        <f>F211*E203</f>
        <v>1804.5780000000002</v>
      </c>
      <c r="H211" s="54"/>
      <c r="I211" s="54"/>
      <c r="J211" s="54"/>
    </row>
    <row r="212" spans="1:10" ht="15" customHeight="1">
      <c r="A212" s="260" t="s">
        <v>31</v>
      </c>
      <c r="B212" s="633" t="s">
        <v>408</v>
      </c>
      <c r="C212" s="633"/>
      <c r="D212" s="260" t="s">
        <v>85</v>
      </c>
      <c r="E212" s="447"/>
      <c r="F212" s="43">
        <v>300.6</v>
      </c>
      <c r="G212" s="240">
        <f>F212*E203</f>
        <v>201.40200000000002</v>
      </c>
      <c r="H212" s="54"/>
      <c r="I212" s="54"/>
      <c r="J212" s="54"/>
    </row>
    <row r="213" spans="1:10" ht="15" customHeight="1">
      <c r="A213" s="260" t="s">
        <v>79</v>
      </c>
      <c r="B213" s="633" t="s">
        <v>196</v>
      </c>
      <c r="C213" s="633"/>
      <c r="D213" s="260" t="s">
        <v>85</v>
      </c>
      <c r="E213" s="447"/>
      <c r="F213" s="43">
        <v>1242.8</v>
      </c>
      <c r="G213" s="240">
        <f>F213*E203</f>
        <v>832.676</v>
      </c>
      <c r="H213" s="54"/>
      <c r="I213" s="54"/>
      <c r="J213" s="54"/>
    </row>
    <row r="214" ht="14.25">
      <c r="A214" s="245"/>
    </row>
    <row r="215" ht="14.25">
      <c r="A215" s="245" t="s">
        <v>197</v>
      </c>
    </row>
    <row r="216" ht="15" thickBot="1">
      <c r="A216" s="254"/>
    </row>
    <row r="217" spans="1:7" ht="14.25" customHeight="1">
      <c r="A217" s="637" t="s">
        <v>37</v>
      </c>
      <c r="B217" s="642" t="s">
        <v>38</v>
      </c>
      <c r="C217" s="643"/>
      <c r="D217" s="255" t="s">
        <v>198</v>
      </c>
      <c r="E217" s="642" t="s">
        <v>59</v>
      </c>
      <c r="F217" s="660"/>
      <c r="G217" s="643"/>
    </row>
    <row r="218" spans="1:7" ht="15" thickBot="1">
      <c r="A218" s="638"/>
      <c r="B218" s="644"/>
      <c r="C218" s="645"/>
      <c r="D218" s="257" t="s">
        <v>199</v>
      </c>
      <c r="E218" s="644"/>
      <c r="F218" s="661"/>
      <c r="G218" s="645"/>
    </row>
    <row r="219" spans="1:11" ht="15" customHeight="1">
      <c r="A219" s="272" t="s">
        <v>9</v>
      </c>
      <c r="B219" s="634" t="s">
        <v>200</v>
      </c>
      <c r="C219" s="634"/>
      <c r="D219" s="272" t="s">
        <v>85</v>
      </c>
      <c r="E219" s="667">
        <f>G42+G60+G64+G65+G97+G120+G132+G146+G164+G172+G188+G197</f>
        <v>21215.878395542135</v>
      </c>
      <c r="F219" s="667"/>
      <c r="G219" s="667"/>
      <c r="H219" s="313"/>
      <c r="K219" s="313"/>
    </row>
    <row r="220" spans="1:7" ht="15" customHeight="1">
      <c r="A220" s="260" t="s">
        <v>45</v>
      </c>
      <c r="B220" s="633" t="s">
        <v>201</v>
      </c>
      <c r="C220" s="633"/>
      <c r="D220" s="260" t="s">
        <v>85</v>
      </c>
      <c r="E220" s="662">
        <f>SUM(G203:G213)</f>
        <v>4296.836993043301</v>
      </c>
      <c r="F220" s="662"/>
      <c r="G220" s="662"/>
    </row>
    <row r="221" spans="1:7" ht="14.25">
      <c r="A221" s="260" t="s">
        <v>14</v>
      </c>
      <c r="B221" s="633" t="s">
        <v>202</v>
      </c>
      <c r="C221" s="633"/>
      <c r="D221" s="260" t="s">
        <v>85</v>
      </c>
      <c r="E221" s="662">
        <f>SUM(E219:G220)</f>
        <v>25512.715388585435</v>
      </c>
      <c r="F221" s="662"/>
      <c r="G221" s="662"/>
    </row>
    <row r="222" spans="1:7" ht="27.75" customHeight="1">
      <c r="A222" s="260">
        <v>4</v>
      </c>
      <c r="B222" s="633" t="s">
        <v>203</v>
      </c>
      <c r="C222" s="633"/>
      <c r="D222" s="260" t="s">
        <v>85</v>
      </c>
      <c r="E222" s="659"/>
      <c r="F222" s="659"/>
      <c r="G222" s="659"/>
    </row>
    <row r="223" spans="1:7" ht="15" customHeight="1">
      <c r="A223" s="260" t="s">
        <v>19</v>
      </c>
      <c r="B223" s="633" t="s">
        <v>204</v>
      </c>
      <c r="C223" s="633"/>
      <c r="D223" s="260" t="s">
        <v>85</v>
      </c>
      <c r="E223" s="659">
        <f>E221-E222</f>
        <v>25512.715388585435</v>
      </c>
      <c r="F223" s="659"/>
      <c r="G223" s="659"/>
    </row>
    <row r="224" ht="14.25">
      <c r="A224" s="278"/>
    </row>
    <row r="225" ht="12.75">
      <c r="I225" s="282"/>
    </row>
    <row r="227" ht="14.25" customHeight="1">
      <c r="B227" s="314" t="s">
        <v>63</v>
      </c>
    </row>
    <row r="229" ht="14.25">
      <c r="B229" s="314" t="s">
        <v>206</v>
      </c>
    </row>
  </sheetData>
  <sheetProtection/>
  <mergeCells count="169"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  <mergeCell ref="D18:E18"/>
    <mergeCell ref="D20:E20"/>
    <mergeCell ref="D14:E14"/>
    <mergeCell ref="B31:C32"/>
    <mergeCell ref="B26:G26"/>
    <mergeCell ref="C24:G24"/>
    <mergeCell ref="E223:G223"/>
    <mergeCell ref="B47:C47"/>
    <mergeCell ref="B68:C68"/>
    <mergeCell ref="B63:C63"/>
    <mergeCell ref="D47:D48"/>
    <mergeCell ref="B223:C223"/>
    <mergeCell ref="E219:G219"/>
    <mergeCell ref="B219:C219"/>
    <mergeCell ref="B220:C220"/>
    <mergeCell ref="B221:C221"/>
    <mergeCell ref="B33:C33"/>
    <mergeCell ref="B39:C39"/>
    <mergeCell ref="B40:C40"/>
    <mergeCell ref="B210:C210"/>
    <mergeCell ref="E222:G222"/>
    <mergeCell ref="B211:C211"/>
    <mergeCell ref="B212:C212"/>
    <mergeCell ref="B213:C213"/>
    <mergeCell ref="E217:G218"/>
    <mergeCell ref="B222:C222"/>
    <mergeCell ref="B217:C218"/>
    <mergeCell ref="E220:G220"/>
    <mergeCell ref="E221:G221"/>
    <mergeCell ref="B204:C204"/>
    <mergeCell ref="B205:C205"/>
    <mergeCell ref="B206:C206"/>
    <mergeCell ref="B207:C207"/>
    <mergeCell ref="B208:C208"/>
    <mergeCell ref="B209:C209"/>
    <mergeCell ref="B181:C181"/>
    <mergeCell ref="B203:C203"/>
    <mergeCell ref="B180:C180"/>
    <mergeCell ref="B162:C162"/>
    <mergeCell ref="B171:C171"/>
    <mergeCell ref="B172:C172"/>
    <mergeCell ref="B202:C202"/>
    <mergeCell ref="B196:C196"/>
    <mergeCell ref="B164:C164"/>
    <mergeCell ref="B179:C179"/>
    <mergeCell ref="B192:C192"/>
    <mergeCell ref="B185:C185"/>
    <mergeCell ref="B186:C186"/>
    <mergeCell ref="B187:C187"/>
    <mergeCell ref="B183:C183"/>
    <mergeCell ref="B184:C184"/>
    <mergeCell ref="B188:C188"/>
    <mergeCell ref="B71:C71"/>
    <mergeCell ref="B101:C101"/>
    <mergeCell ref="B95:C95"/>
    <mergeCell ref="B96:C96"/>
    <mergeCell ref="A94:C94"/>
    <mergeCell ref="B97:C97"/>
    <mergeCell ref="B82:C82"/>
    <mergeCell ref="B76:C76"/>
    <mergeCell ref="B79:C79"/>
    <mergeCell ref="B80:C80"/>
    <mergeCell ref="G47:G48"/>
    <mergeCell ref="B81:C81"/>
    <mergeCell ref="A69:C69"/>
    <mergeCell ref="A47:A48"/>
    <mergeCell ref="F47:F48"/>
    <mergeCell ref="A70:C70"/>
    <mergeCell ref="E47:E48"/>
    <mergeCell ref="B77:C77"/>
    <mergeCell ref="B75:C75"/>
    <mergeCell ref="B78:C78"/>
    <mergeCell ref="B72:C72"/>
    <mergeCell ref="A83:C83"/>
    <mergeCell ref="A84:C84"/>
    <mergeCell ref="B110:C110"/>
    <mergeCell ref="B103:C103"/>
    <mergeCell ref="B104:C104"/>
    <mergeCell ref="B105:C105"/>
    <mergeCell ref="B92:C92"/>
    <mergeCell ref="B73:C73"/>
    <mergeCell ref="B74:C74"/>
    <mergeCell ref="B111:C111"/>
    <mergeCell ref="B112:C112"/>
    <mergeCell ref="B113:C113"/>
    <mergeCell ref="B106:C106"/>
    <mergeCell ref="B109:C109"/>
    <mergeCell ref="B107:C107"/>
    <mergeCell ref="B108:C108"/>
    <mergeCell ref="D137:G137"/>
    <mergeCell ref="D138:G138"/>
    <mergeCell ref="B87:C87"/>
    <mergeCell ref="B85:C85"/>
    <mergeCell ref="B86:C86"/>
    <mergeCell ref="A88:C88"/>
    <mergeCell ref="A89:C89"/>
    <mergeCell ref="B102:C102"/>
    <mergeCell ref="B90:C90"/>
    <mergeCell ref="B91:C91"/>
    <mergeCell ref="B194:C194"/>
    <mergeCell ref="B195:C195"/>
    <mergeCell ref="B168:C169"/>
    <mergeCell ref="B170:C170"/>
    <mergeCell ref="B177:C177"/>
    <mergeCell ref="B153:C153"/>
    <mergeCell ref="B154:C154"/>
    <mergeCell ref="B158:C158"/>
    <mergeCell ref="B157:C157"/>
    <mergeCell ref="B156:C156"/>
    <mergeCell ref="B127:C127"/>
    <mergeCell ref="B128:C128"/>
    <mergeCell ref="B129:C129"/>
    <mergeCell ref="B130:C130"/>
    <mergeCell ref="B131:C131"/>
    <mergeCell ref="B193:C193"/>
    <mergeCell ref="B151:C151"/>
    <mergeCell ref="B161:C161"/>
    <mergeCell ref="B176:C176"/>
    <mergeCell ref="B178:C178"/>
    <mergeCell ref="A31:A32"/>
    <mergeCell ref="B42:C42"/>
    <mergeCell ref="B64:C64"/>
    <mergeCell ref="B65:C65"/>
    <mergeCell ref="A38:A41"/>
    <mergeCell ref="B34:C34"/>
    <mergeCell ref="B35:C35"/>
    <mergeCell ref="B36:C36"/>
    <mergeCell ref="B37:C37"/>
    <mergeCell ref="B38:C38"/>
    <mergeCell ref="B141:C141"/>
    <mergeCell ref="B114:C114"/>
    <mergeCell ref="B115:C115"/>
    <mergeCell ref="B116:C116"/>
    <mergeCell ref="B117:C117"/>
    <mergeCell ref="B125:C125"/>
    <mergeCell ref="B118:C118"/>
    <mergeCell ref="B119:C119"/>
    <mergeCell ref="B139:C139"/>
    <mergeCell ref="B126:C126"/>
    <mergeCell ref="B197:C197"/>
    <mergeCell ref="B144:C144"/>
    <mergeCell ref="A217:A218"/>
    <mergeCell ref="A168:A169"/>
    <mergeCell ref="B182:C182"/>
    <mergeCell ref="B160:C160"/>
    <mergeCell ref="B159:C159"/>
    <mergeCell ref="B163:C163"/>
    <mergeCell ref="B155:C155"/>
    <mergeCell ref="B152:C152"/>
    <mergeCell ref="B120:C120"/>
    <mergeCell ref="B132:C132"/>
    <mergeCell ref="B146:C146"/>
    <mergeCell ref="B145:C145"/>
    <mergeCell ref="B136:C136"/>
    <mergeCell ref="B137:C137"/>
    <mergeCell ref="B138:C138"/>
    <mergeCell ref="B140:C140"/>
    <mergeCell ref="B142:C142"/>
    <mergeCell ref="B143:C143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199">
      <selection activeCell="E182" sqref="E182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488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469</v>
      </c>
      <c r="D16" s="668" t="s">
        <v>17</v>
      </c>
      <c r="E16" s="669"/>
      <c r="F16" s="668" t="s">
        <v>615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3</v>
      </c>
      <c r="D18" s="668" t="s">
        <v>21</v>
      </c>
      <c r="E18" s="669"/>
      <c r="F18" s="668" t="s">
        <v>609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477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470</v>
      </c>
      <c r="D22" s="251" t="s">
        <v>29</v>
      </c>
      <c r="E22" s="252"/>
      <c r="F22" s="676" t="s">
        <v>471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472</v>
      </c>
      <c r="D24" s="672"/>
      <c r="E24" s="672"/>
      <c r="F24" s="672"/>
      <c r="G24" s="673"/>
    </row>
    <row r="25" spans="1:7" ht="14.25">
      <c r="A25" s="253"/>
      <c r="B25" s="670"/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9" ht="15" customHeight="1">
      <c r="A34" s="260" t="s">
        <v>9</v>
      </c>
      <c r="B34" s="633" t="s">
        <v>478</v>
      </c>
      <c r="C34" s="633"/>
      <c r="D34" s="260" t="s">
        <v>43</v>
      </c>
      <c r="E34" s="261" t="s">
        <v>616</v>
      </c>
      <c r="F34" s="262">
        <f>(F50+52.06)/2</f>
        <v>45.98522388059702</v>
      </c>
      <c r="G34" s="263">
        <f>60*F34*3</f>
        <v>8277.340298507464</v>
      </c>
      <c r="I34" s="325" t="s">
        <v>486</v>
      </c>
    </row>
    <row r="35" spans="1:9" ht="15" customHeight="1">
      <c r="A35" s="260" t="s">
        <v>45</v>
      </c>
      <c r="B35" s="633" t="s">
        <v>479</v>
      </c>
      <c r="C35" s="633"/>
      <c r="D35" s="260" t="s">
        <v>43</v>
      </c>
      <c r="E35" s="261" t="s">
        <v>617</v>
      </c>
      <c r="F35" s="262">
        <f>(F50+43.34)/2</f>
        <v>41.62522388059702</v>
      </c>
      <c r="G35" s="263">
        <f>35*F35*3</f>
        <v>4370.648507462687</v>
      </c>
      <c r="I35" s="325" t="s">
        <v>487</v>
      </c>
    </row>
    <row r="36" spans="1:7" ht="15" customHeight="1">
      <c r="A36" s="260" t="s">
        <v>14</v>
      </c>
      <c r="B36" s="633" t="s">
        <v>480</v>
      </c>
      <c r="C36" s="633"/>
      <c r="D36" s="260" t="s">
        <v>43</v>
      </c>
      <c r="E36" s="261" t="s">
        <v>618</v>
      </c>
      <c r="F36" s="262">
        <f>(7260+3500+4620)*12/6030</f>
        <v>30.606965174129353</v>
      </c>
      <c r="G36" s="263">
        <f>15*F36*3</f>
        <v>1377.313432835821</v>
      </c>
    </row>
    <row r="37" spans="1:7" ht="15" customHeight="1">
      <c r="A37" s="260" t="s">
        <v>49</v>
      </c>
      <c r="B37" s="633" t="s">
        <v>481</v>
      </c>
      <c r="C37" s="633"/>
      <c r="D37" s="260" t="s">
        <v>43</v>
      </c>
      <c r="E37" s="261" t="s">
        <v>619</v>
      </c>
      <c r="F37" s="262">
        <f>(F50+52.06)/2</f>
        <v>45.98522388059702</v>
      </c>
      <c r="G37" s="263">
        <f>30*F37*3</f>
        <v>4138.670149253732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>E38*F38</f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>E39*F39</f>
        <v>0</v>
      </c>
    </row>
    <row r="40" spans="1:7" ht="15.75" customHeight="1">
      <c r="A40" s="639"/>
      <c r="B40" s="664"/>
      <c r="C40" s="665"/>
      <c r="D40" s="264"/>
      <c r="E40" s="269"/>
      <c r="F40" s="266"/>
      <c r="G40" s="334">
        <f>E40*F40</f>
        <v>0</v>
      </c>
    </row>
    <row r="41" spans="1:7" ht="14.25">
      <c r="A41" s="639"/>
      <c r="B41" s="270"/>
      <c r="C41" s="271"/>
      <c r="D41" s="264"/>
      <c r="E41" s="272"/>
      <c r="F41" s="266"/>
      <c r="G41" s="273">
        <f>E41*F41</f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18163.972388059705</v>
      </c>
    </row>
    <row r="43" ht="14.25">
      <c r="A43" s="254"/>
    </row>
    <row r="44" ht="14.25">
      <c r="A44" s="254"/>
    </row>
    <row r="45" ht="14.25">
      <c r="A45" s="254"/>
    </row>
    <row r="46" ht="15" thickBot="1">
      <c r="A46" s="254" t="s">
        <v>56</v>
      </c>
    </row>
    <row r="47" spans="1:7" ht="27.75" customHeight="1" thickBot="1">
      <c r="A47" s="637" t="s">
        <v>37</v>
      </c>
      <c r="B47" s="652" t="s">
        <v>57</v>
      </c>
      <c r="C47" s="666"/>
      <c r="D47" s="642" t="s">
        <v>39</v>
      </c>
      <c r="E47" s="642" t="s">
        <v>207</v>
      </c>
      <c r="F47" s="637" t="s">
        <v>58</v>
      </c>
      <c r="G47" s="643" t="s">
        <v>59</v>
      </c>
    </row>
    <row r="48" spans="1:7" ht="15" customHeight="1" thickBot="1">
      <c r="A48" s="638"/>
      <c r="B48" s="274" t="s">
        <v>60</v>
      </c>
      <c r="C48" s="275" t="s">
        <v>61</v>
      </c>
      <c r="D48" s="644"/>
      <c r="E48" s="644"/>
      <c r="F48" s="638"/>
      <c r="G48" s="645"/>
    </row>
    <row r="49" spans="1:7" ht="14.25" customHeight="1">
      <c r="A49" s="272" t="s">
        <v>9</v>
      </c>
      <c r="B49" s="326" t="s">
        <v>62</v>
      </c>
      <c r="C49" s="326" t="s">
        <v>258</v>
      </c>
      <c r="D49" s="272" t="s">
        <v>43</v>
      </c>
      <c r="E49" s="272">
        <v>6</v>
      </c>
      <c r="F49" s="86">
        <f>6600*12/2010</f>
        <v>39.40298507462686</v>
      </c>
      <c r="G49" s="281">
        <f>E49*F49</f>
        <v>236.4179104477612</v>
      </c>
    </row>
    <row r="50" spans="1:7" ht="15" customHeight="1">
      <c r="A50" s="260" t="s">
        <v>45</v>
      </c>
      <c r="B50" s="276" t="s">
        <v>63</v>
      </c>
      <c r="C50" s="276" t="s">
        <v>474</v>
      </c>
      <c r="D50" s="260" t="s">
        <v>43</v>
      </c>
      <c r="E50" s="261" t="s">
        <v>620</v>
      </c>
      <c r="F50" s="262">
        <f>(6110+7260)*12/4020</f>
        <v>39.91044776119403</v>
      </c>
      <c r="G50" s="263">
        <f>60*F50*2</f>
        <v>4789.253731343283</v>
      </c>
    </row>
    <row r="51" spans="1:7" ht="15" customHeight="1">
      <c r="A51" s="260" t="s">
        <v>14</v>
      </c>
      <c r="B51" s="276" t="s">
        <v>65</v>
      </c>
      <c r="C51" s="338" t="s">
        <v>394</v>
      </c>
      <c r="D51" s="260" t="s">
        <v>43</v>
      </c>
      <c r="E51" s="261" t="s">
        <v>483</v>
      </c>
      <c r="F51" s="339"/>
      <c r="G51" s="263"/>
    </row>
    <row r="52" spans="1:7" ht="15" customHeight="1">
      <c r="A52" s="260" t="s">
        <v>49</v>
      </c>
      <c r="B52" s="276" t="s">
        <v>229</v>
      </c>
      <c r="C52" s="276" t="s">
        <v>345</v>
      </c>
      <c r="D52" s="260" t="s">
        <v>43</v>
      </c>
      <c r="E52" s="261" t="s">
        <v>621</v>
      </c>
      <c r="F52" s="262">
        <f>6110*12/2010</f>
        <v>36.47761194029851</v>
      </c>
      <c r="G52" s="263">
        <f>E52*F52</f>
        <v>1276.7164179104477</v>
      </c>
    </row>
    <row r="53" spans="1:9" ht="15" customHeight="1">
      <c r="A53" s="260" t="s">
        <v>19</v>
      </c>
      <c r="B53" s="276" t="s">
        <v>67</v>
      </c>
      <c r="C53" s="276" t="s">
        <v>482</v>
      </c>
      <c r="D53" s="260" t="s">
        <v>43</v>
      </c>
      <c r="E53" s="261" t="s">
        <v>622</v>
      </c>
      <c r="F53" s="315">
        <f>4382*12/2010</f>
        <v>26.161194029850748</v>
      </c>
      <c r="G53" s="316">
        <f>40*F53*9</f>
        <v>9418.029850746268</v>
      </c>
      <c r="H53" s="317"/>
      <c r="I53" s="318" t="s">
        <v>413</v>
      </c>
    </row>
    <row r="54" spans="1:7" ht="15" customHeight="1">
      <c r="A54" s="260" t="s">
        <v>54</v>
      </c>
      <c r="B54" s="276" t="s">
        <v>260</v>
      </c>
      <c r="C54" s="276" t="s">
        <v>395</v>
      </c>
      <c r="D54" s="260" t="s">
        <v>43</v>
      </c>
      <c r="E54" s="261" t="s">
        <v>410</v>
      </c>
      <c r="F54" s="339"/>
      <c r="G54" s="263">
        <f>E54*F54</f>
        <v>0</v>
      </c>
    </row>
    <row r="55" spans="1:7" ht="15" customHeight="1">
      <c r="A55" s="260" t="s">
        <v>22</v>
      </c>
      <c r="B55" s="276" t="s">
        <v>70</v>
      </c>
      <c r="C55" s="276" t="s">
        <v>475</v>
      </c>
      <c r="D55" s="260" t="s">
        <v>43</v>
      </c>
      <c r="E55" s="261" t="s">
        <v>620</v>
      </c>
      <c r="F55" s="262">
        <f>(7260+5120)*12/4010</f>
        <v>37.047381546134666</v>
      </c>
      <c r="G55" s="263">
        <f>60*F55*2</f>
        <v>4445.6857855361595</v>
      </c>
    </row>
    <row r="56" spans="1:9" ht="15" customHeight="1">
      <c r="A56" s="260" t="s">
        <v>72</v>
      </c>
      <c r="B56" s="276" t="s">
        <v>73</v>
      </c>
      <c r="C56" s="276" t="s">
        <v>476</v>
      </c>
      <c r="D56" s="260" t="s">
        <v>43</v>
      </c>
      <c r="E56" s="261" t="s">
        <v>623</v>
      </c>
      <c r="F56" s="315">
        <f>3901*12/2010</f>
        <v>23.28955223880597</v>
      </c>
      <c r="G56" s="316">
        <f>40*F56*3</f>
        <v>2794.7462686567164</v>
      </c>
      <c r="H56" s="317"/>
      <c r="I56" s="318" t="s">
        <v>412</v>
      </c>
    </row>
    <row r="57" spans="1:9" ht="15" customHeight="1">
      <c r="A57" s="260" t="s">
        <v>26</v>
      </c>
      <c r="B57" s="276" t="s">
        <v>75</v>
      </c>
      <c r="C57" s="276" t="s">
        <v>484</v>
      </c>
      <c r="D57" s="260" t="s">
        <v>43</v>
      </c>
      <c r="E57" s="261" t="s">
        <v>616</v>
      </c>
      <c r="F57" s="315">
        <f>3301*12/2010</f>
        <v>19.707462686567165</v>
      </c>
      <c r="G57" s="316">
        <f>60*F57*3</f>
        <v>3547.3432835820895</v>
      </c>
      <c r="H57" s="317"/>
      <c r="I57" s="318" t="s">
        <v>485</v>
      </c>
    </row>
    <row r="58" spans="1:9" ht="15" customHeight="1">
      <c r="A58" s="260">
        <v>10</v>
      </c>
      <c r="B58" s="276" t="s">
        <v>263</v>
      </c>
      <c r="C58" s="276" t="s">
        <v>453</v>
      </c>
      <c r="D58" s="260" t="s">
        <v>43</v>
      </c>
      <c r="E58" s="261" t="s">
        <v>624</v>
      </c>
      <c r="F58" s="315">
        <f>3061*12/2010</f>
        <v>18.274626865671642</v>
      </c>
      <c r="G58" s="316">
        <f>40*F58*4</f>
        <v>2923.940298507463</v>
      </c>
      <c r="H58" s="317"/>
      <c r="I58" s="318" t="s">
        <v>411</v>
      </c>
    </row>
    <row r="59" spans="1:9" ht="15" customHeight="1">
      <c r="A59" s="260">
        <v>11</v>
      </c>
      <c r="B59" s="276" t="s">
        <v>425</v>
      </c>
      <c r="C59" s="276" t="s">
        <v>394</v>
      </c>
      <c r="D59" s="260" t="s">
        <v>43</v>
      </c>
      <c r="E59" s="261" t="s">
        <v>625</v>
      </c>
      <c r="F59" s="315">
        <f>3894*12/2010</f>
        <v>23.247761194029852</v>
      </c>
      <c r="G59" s="316">
        <f>28*F59*2</f>
        <v>1301.8746268656716</v>
      </c>
      <c r="H59" s="317"/>
      <c r="I59" s="318" t="s">
        <v>431</v>
      </c>
    </row>
    <row r="60" spans="1:9" ht="15" customHeight="1">
      <c r="A60" s="260">
        <v>12</v>
      </c>
      <c r="B60" s="276" t="s">
        <v>80</v>
      </c>
      <c r="C60" s="276" t="s">
        <v>394</v>
      </c>
      <c r="D60" s="260" t="s">
        <v>43</v>
      </c>
      <c r="E60" s="261" t="s">
        <v>620</v>
      </c>
      <c r="F60" s="315">
        <f>2890*12/2010</f>
        <v>17.253731343283583</v>
      </c>
      <c r="G60" s="263">
        <f>60*F60*2</f>
        <v>2070.44776119403</v>
      </c>
      <c r="I60" s="325" t="s">
        <v>450</v>
      </c>
    </row>
    <row r="61" spans="1:7" ht="15" customHeight="1">
      <c r="A61" s="260"/>
      <c r="B61" s="276" t="s">
        <v>82</v>
      </c>
      <c r="C61" s="276"/>
      <c r="D61" s="260"/>
      <c r="E61" s="261"/>
      <c r="F61" s="260"/>
      <c r="G61" s="263">
        <f>SUM(G49:G60)</f>
        <v>32804.45593478989</v>
      </c>
    </row>
    <row r="62" ht="15" customHeight="1">
      <c r="A62" s="278"/>
    </row>
    <row r="63" ht="15" thickBot="1">
      <c r="A63" s="254" t="s">
        <v>83</v>
      </c>
    </row>
    <row r="64" spans="1:7" ht="28.5" customHeight="1" thickBot="1">
      <c r="A64" s="279" t="s">
        <v>37</v>
      </c>
      <c r="B64" s="652" t="s">
        <v>38</v>
      </c>
      <c r="C64" s="653"/>
      <c r="D64" s="280" t="s">
        <v>39</v>
      </c>
      <c r="E64" s="280" t="s">
        <v>207</v>
      </c>
      <c r="F64" s="280" t="s">
        <v>58</v>
      </c>
      <c r="G64" s="280" t="s">
        <v>59</v>
      </c>
    </row>
    <row r="65" spans="1:7" ht="15" customHeight="1">
      <c r="A65" s="272" t="s">
        <v>9</v>
      </c>
      <c r="B65" s="634" t="s">
        <v>84</v>
      </c>
      <c r="C65" s="634"/>
      <c r="D65" s="272" t="s">
        <v>85</v>
      </c>
      <c r="E65" s="259"/>
      <c r="F65" s="259"/>
      <c r="G65" s="281">
        <f>(G42+G61)*0.23</f>
        <v>11722.738514255407</v>
      </c>
    </row>
    <row r="66" spans="1:7" ht="15" customHeight="1">
      <c r="A66" s="260" t="s">
        <v>45</v>
      </c>
      <c r="B66" s="633" t="s">
        <v>86</v>
      </c>
      <c r="C66" s="633"/>
      <c r="D66" s="260" t="s">
        <v>85</v>
      </c>
      <c r="E66" s="283"/>
      <c r="F66" s="283"/>
      <c r="G66" s="263">
        <f>(G42+G61)*0.035</f>
        <v>1783.894991299736</v>
      </c>
    </row>
    <row r="67" ht="18" customHeight="1">
      <c r="A67" s="278"/>
    </row>
    <row r="68" ht="15" thickBot="1">
      <c r="A68" s="254" t="s">
        <v>87</v>
      </c>
    </row>
    <row r="69" spans="1:7" ht="27" customHeight="1" thickBot="1">
      <c r="A69" s="256" t="s">
        <v>37</v>
      </c>
      <c r="B69" s="642" t="s">
        <v>38</v>
      </c>
      <c r="C69" s="643"/>
      <c r="D69" s="255" t="s">
        <v>39</v>
      </c>
      <c r="E69" s="284" t="s">
        <v>207</v>
      </c>
      <c r="F69" s="256" t="s">
        <v>58</v>
      </c>
      <c r="G69" s="256" t="s">
        <v>59</v>
      </c>
    </row>
    <row r="70" spans="1:7" ht="15" customHeight="1">
      <c r="A70" s="650"/>
      <c r="B70" s="650"/>
      <c r="C70" s="650"/>
      <c r="D70" s="285"/>
      <c r="E70" s="285"/>
      <c r="F70" s="286"/>
      <c r="G70" s="286"/>
    </row>
    <row r="71" spans="1:7" ht="14.25">
      <c r="A71" s="649" t="s">
        <v>88</v>
      </c>
      <c r="B71" s="649"/>
      <c r="C71" s="649"/>
      <c r="D71" s="264"/>
      <c r="E71" s="264"/>
      <c r="F71" s="266"/>
      <c r="G71" s="266"/>
    </row>
    <row r="72" spans="1:7" ht="15" customHeight="1">
      <c r="A72" s="288" t="s">
        <v>9</v>
      </c>
      <c r="B72" s="633" t="s">
        <v>273</v>
      </c>
      <c r="C72" s="633"/>
      <c r="D72" s="260"/>
      <c r="E72" s="260"/>
      <c r="F72" s="260"/>
      <c r="G72" s="260"/>
    </row>
    <row r="73" spans="1:7" ht="15" customHeight="1">
      <c r="A73" s="288" t="s">
        <v>45</v>
      </c>
      <c r="B73" s="633" t="s">
        <v>90</v>
      </c>
      <c r="C73" s="633"/>
      <c r="D73" s="260" t="s">
        <v>91</v>
      </c>
      <c r="E73" s="260">
        <v>83</v>
      </c>
      <c r="F73" s="260">
        <v>635.1</v>
      </c>
      <c r="G73" s="263">
        <f>E73*F73</f>
        <v>52713.3</v>
      </c>
    </row>
    <row r="74" spans="1:7" ht="15" customHeight="1">
      <c r="A74" s="288" t="s">
        <v>14</v>
      </c>
      <c r="B74" s="633" t="s">
        <v>92</v>
      </c>
      <c r="C74" s="633"/>
      <c r="D74" s="260" t="s">
        <v>91</v>
      </c>
      <c r="E74" s="260">
        <v>4</v>
      </c>
      <c r="F74" s="260">
        <v>635.1</v>
      </c>
      <c r="G74" s="263">
        <f>E74*F74</f>
        <v>2540.4</v>
      </c>
    </row>
    <row r="75" spans="1:7" ht="15" customHeight="1">
      <c r="A75" s="288" t="s">
        <v>49</v>
      </c>
      <c r="B75" s="633" t="s">
        <v>93</v>
      </c>
      <c r="C75" s="633"/>
      <c r="D75" s="260" t="s">
        <v>91</v>
      </c>
      <c r="E75" s="260">
        <v>2</v>
      </c>
      <c r="F75" s="260">
        <v>635.1</v>
      </c>
      <c r="G75" s="263">
        <f>E75*F75</f>
        <v>1270.2</v>
      </c>
    </row>
    <row r="76" spans="1:7" ht="15" customHeight="1">
      <c r="A76" s="288" t="s">
        <v>19</v>
      </c>
      <c r="B76" s="633" t="s">
        <v>396</v>
      </c>
      <c r="C76" s="633"/>
      <c r="D76" s="260"/>
      <c r="E76" s="260"/>
      <c r="F76" s="260"/>
      <c r="G76" s="260"/>
    </row>
    <row r="77" spans="1:7" ht="15" customHeight="1">
      <c r="A77" s="288"/>
      <c r="B77" s="636" t="s">
        <v>95</v>
      </c>
      <c r="C77" s="636"/>
      <c r="D77" s="289" t="s">
        <v>96</v>
      </c>
      <c r="E77" s="289">
        <v>9</v>
      </c>
      <c r="F77" s="289"/>
      <c r="G77" s="289"/>
    </row>
    <row r="78" spans="1:7" ht="15" customHeight="1">
      <c r="A78" s="288"/>
      <c r="B78" s="636" t="s">
        <v>97</v>
      </c>
      <c r="C78" s="636"/>
      <c r="D78" s="289" t="s">
        <v>91</v>
      </c>
      <c r="E78" s="289">
        <v>40</v>
      </c>
      <c r="F78" s="289"/>
      <c r="G78" s="289"/>
    </row>
    <row r="79" spans="1:7" ht="15" customHeight="1">
      <c r="A79" s="288"/>
      <c r="B79" s="636" t="s">
        <v>98</v>
      </c>
      <c r="C79" s="636"/>
      <c r="D79" s="289" t="s">
        <v>85</v>
      </c>
      <c r="E79" s="289"/>
      <c r="F79" s="289">
        <v>16.04</v>
      </c>
      <c r="G79" s="290">
        <f>E77*E78*F79</f>
        <v>5774.4</v>
      </c>
    </row>
    <row r="80" spans="1:9" ht="15" customHeight="1">
      <c r="A80" s="288" t="s">
        <v>54</v>
      </c>
      <c r="B80" s="633" t="s">
        <v>397</v>
      </c>
      <c r="C80" s="633"/>
      <c r="D80" s="289"/>
      <c r="E80" s="289"/>
      <c r="F80" s="289"/>
      <c r="G80" s="289"/>
      <c r="I80" s="335"/>
    </row>
    <row r="81" spans="1:9" ht="15" customHeight="1">
      <c r="A81" s="288"/>
      <c r="B81" s="636" t="s">
        <v>97</v>
      </c>
      <c r="C81" s="636"/>
      <c r="D81" s="289" t="s">
        <v>91</v>
      </c>
      <c r="E81" s="289">
        <v>40</v>
      </c>
      <c r="F81" s="289"/>
      <c r="G81" s="289"/>
      <c r="I81" s="335"/>
    </row>
    <row r="82" spans="1:9" ht="15" customHeight="1">
      <c r="A82" s="288"/>
      <c r="B82" s="636" t="s">
        <v>100</v>
      </c>
      <c r="C82" s="636"/>
      <c r="D82" s="289" t="s">
        <v>101</v>
      </c>
      <c r="E82" s="292">
        <v>120</v>
      </c>
      <c r="F82" s="289">
        <v>1.68</v>
      </c>
      <c r="G82" s="290">
        <f>E81*E82*F82</f>
        <v>8064</v>
      </c>
      <c r="I82" s="335"/>
    </row>
    <row r="83" spans="1:9" ht="15" customHeight="1">
      <c r="A83" s="288"/>
      <c r="B83" s="636" t="s">
        <v>102</v>
      </c>
      <c r="C83" s="636"/>
      <c r="D83" s="289" t="s">
        <v>91</v>
      </c>
      <c r="E83" s="289"/>
      <c r="F83" s="293">
        <f>2250.05/2</f>
        <v>1125.025</v>
      </c>
      <c r="G83" s="290">
        <f>E81*F83</f>
        <v>45001</v>
      </c>
      <c r="I83" s="336"/>
    </row>
    <row r="84" spans="1:9" ht="14.25" customHeight="1">
      <c r="A84" s="649"/>
      <c r="B84" s="649"/>
      <c r="C84" s="649"/>
      <c r="D84" s="294"/>
      <c r="E84" s="294"/>
      <c r="F84" s="294"/>
      <c r="G84" s="294"/>
      <c r="I84" s="336"/>
    </row>
    <row r="85" spans="1:7" ht="14.25">
      <c r="A85" s="649" t="s">
        <v>398</v>
      </c>
      <c r="B85" s="649"/>
      <c r="C85" s="649"/>
      <c r="D85" s="294"/>
      <c r="E85" s="294"/>
      <c r="F85" s="294"/>
      <c r="G85" s="294"/>
    </row>
    <row r="86" spans="1:7" ht="15" customHeight="1">
      <c r="A86" s="288"/>
      <c r="B86" s="636" t="s">
        <v>399</v>
      </c>
      <c r="C86" s="636"/>
      <c r="D86" s="289" t="s">
        <v>91</v>
      </c>
      <c r="E86" s="289">
        <v>84</v>
      </c>
      <c r="F86" s="289"/>
      <c r="G86" s="289"/>
    </row>
    <row r="87" spans="1:7" ht="15" customHeight="1">
      <c r="A87" s="288"/>
      <c r="B87" s="636" t="s">
        <v>104</v>
      </c>
      <c r="C87" s="636"/>
      <c r="D87" s="289" t="s">
        <v>101</v>
      </c>
      <c r="E87" s="289">
        <v>1.35</v>
      </c>
      <c r="F87" s="289">
        <v>1.68</v>
      </c>
      <c r="G87" s="290">
        <f>E86*E87*F87</f>
        <v>190.512</v>
      </c>
    </row>
    <row r="88" spans="1:7" ht="14.25" customHeight="1">
      <c r="A88" s="288"/>
      <c r="B88" s="636" t="s">
        <v>105</v>
      </c>
      <c r="C88" s="636"/>
      <c r="D88" s="289" t="s">
        <v>85</v>
      </c>
      <c r="E88" s="289"/>
      <c r="F88" s="289">
        <v>11.8</v>
      </c>
      <c r="G88" s="290">
        <f>E86*F88</f>
        <v>991.2</v>
      </c>
    </row>
    <row r="89" spans="1:7" ht="15" customHeight="1">
      <c r="A89" s="649"/>
      <c r="B89" s="649"/>
      <c r="C89" s="649"/>
      <c r="D89" s="294"/>
      <c r="E89" s="294"/>
      <c r="F89" s="294"/>
      <c r="G89" s="295"/>
    </row>
    <row r="90" spans="1:7" ht="14.25">
      <c r="A90" s="649" t="s">
        <v>106</v>
      </c>
      <c r="B90" s="649"/>
      <c r="C90" s="649"/>
      <c r="D90" s="294"/>
      <c r="E90" s="294"/>
      <c r="F90" s="294"/>
      <c r="G90" s="295"/>
    </row>
    <row r="91" spans="1:7" ht="15" customHeight="1">
      <c r="A91" s="288"/>
      <c r="B91" s="636" t="s">
        <v>97</v>
      </c>
      <c r="C91" s="636"/>
      <c r="D91" s="289" t="s">
        <v>91</v>
      </c>
      <c r="E91" s="289">
        <v>20</v>
      </c>
      <c r="F91" s="289"/>
      <c r="G91" s="290"/>
    </row>
    <row r="92" spans="1:7" ht="15" customHeight="1">
      <c r="A92" s="288"/>
      <c r="B92" s="636" t="s">
        <v>104</v>
      </c>
      <c r="C92" s="636"/>
      <c r="D92" s="289" t="s">
        <v>101</v>
      </c>
      <c r="E92" s="289">
        <v>0.5</v>
      </c>
      <c r="F92" s="289">
        <v>1.68</v>
      </c>
      <c r="G92" s="290">
        <f>E91*E92*F92</f>
        <v>16.8</v>
      </c>
    </row>
    <row r="93" spans="1:7" ht="14.25" customHeight="1">
      <c r="A93" s="288"/>
      <c r="B93" s="636" t="s">
        <v>107</v>
      </c>
      <c r="C93" s="636"/>
      <c r="D93" s="289" t="s">
        <v>85</v>
      </c>
      <c r="E93" s="289"/>
      <c r="F93" s="289">
        <v>0.6</v>
      </c>
      <c r="G93" s="289">
        <f>E91*F93</f>
        <v>12</v>
      </c>
    </row>
    <row r="95" spans="1:7" ht="15.75">
      <c r="A95" s="649" t="s">
        <v>208</v>
      </c>
      <c r="B95" s="649"/>
      <c r="C95" s="649"/>
      <c r="D95" s="264"/>
      <c r="E95" s="264"/>
      <c r="F95" s="266"/>
      <c r="G95" s="266"/>
    </row>
    <row r="96" spans="1:7" ht="18.75" customHeight="1">
      <c r="A96" s="276"/>
      <c r="B96" s="651"/>
      <c r="C96" s="651"/>
      <c r="D96" s="260"/>
      <c r="E96" s="260"/>
      <c r="F96" s="260"/>
      <c r="G96" s="260"/>
    </row>
    <row r="97" spans="1:7" ht="14.25">
      <c r="A97" s="276"/>
      <c r="B97" s="631"/>
      <c r="C97" s="632"/>
      <c r="D97" s="260"/>
      <c r="E97" s="261"/>
      <c r="F97" s="260"/>
      <c r="G97" s="263">
        <f>SUM(G96:G96)</f>
        <v>0</v>
      </c>
    </row>
    <row r="98" spans="1:7" ht="14.25" customHeight="1">
      <c r="A98" s="260"/>
      <c r="B98" s="631" t="s">
        <v>108</v>
      </c>
      <c r="C98" s="632"/>
      <c r="D98" s="260"/>
      <c r="E98" s="261"/>
      <c r="F98" s="260"/>
      <c r="G98" s="263">
        <f>SUM(G73:G97)-1</f>
        <v>116572.812</v>
      </c>
    </row>
    <row r="99" spans="1:7" ht="12.75">
      <c r="A99" s="296"/>
      <c r="B99" s="296"/>
      <c r="C99" s="296"/>
      <c r="D99" s="296"/>
      <c r="E99" s="296"/>
      <c r="F99" s="296"/>
      <c r="G99" s="296"/>
    </row>
    <row r="100" ht="15" thickBot="1">
      <c r="A100" s="254" t="s">
        <v>110</v>
      </c>
    </row>
    <row r="101" spans="1:7" ht="26.25" customHeight="1" thickBot="1">
      <c r="A101" s="279" t="s">
        <v>37</v>
      </c>
      <c r="B101" s="297" t="s">
        <v>38</v>
      </c>
      <c r="C101" s="298"/>
      <c r="D101" s="299" t="s">
        <v>39</v>
      </c>
      <c r="E101" s="280" t="s">
        <v>207</v>
      </c>
      <c r="F101" s="280" t="s">
        <v>58</v>
      </c>
      <c r="G101" s="280" t="s">
        <v>59</v>
      </c>
    </row>
    <row r="102" spans="1:7" ht="15" customHeight="1">
      <c r="A102" s="272" t="s">
        <v>9</v>
      </c>
      <c r="B102" s="634" t="s">
        <v>111</v>
      </c>
      <c r="C102" s="634"/>
      <c r="D102" s="300" t="s">
        <v>91</v>
      </c>
      <c r="E102" s="300"/>
      <c r="F102" s="300"/>
      <c r="G102" s="272">
        <f>E102*F102</f>
        <v>0</v>
      </c>
    </row>
    <row r="103" spans="1:7" ht="15" customHeight="1">
      <c r="A103" s="260" t="s">
        <v>45</v>
      </c>
      <c r="B103" s="633" t="s">
        <v>112</v>
      </c>
      <c r="C103" s="633"/>
      <c r="D103" s="289" t="s">
        <v>91</v>
      </c>
      <c r="E103" s="289"/>
      <c r="F103" s="292"/>
      <c r="G103" s="260">
        <f>E103*F103</f>
        <v>0</v>
      </c>
    </row>
    <row r="104" spans="1:7" ht="15" customHeight="1">
      <c r="A104" s="260" t="s">
        <v>14</v>
      </c>
      <c r="B104" s="633" t="s">
        <v>113</v>
      </c>
      <c r="C104" s="633"/>
      <c r="D104" s="289" t="s">
        <v>91</v>
      </c>
      <c r="E104" s="289"/>
      <c r="F104" s="292"/>
      <c r="G104" s="260">
        <f>E104*F104</f>
        <v>0</v>
      </c>
    </row>
    <row r="105" spans="1:7" ht="15" customHeight="1">
      <c r="A105" s="260" t="s">
        <v>49</v>
      </c>
      <c r="B105" s="633" t="s">
        <v>94</v>
      </c>
      <c r="C105" s="633"/>
      <c r="D105" s="289"/>
      <c r="E105" s="289"/>
      <c r="F105" s="289"/>
      <c r="G105" s="289"/>
    </row>
    <row r="106" spans="1:7" ht="15" customHeight="1">
      <c r="A106" s="260"/>
      <c r="B106" s="636" t="s">
        <v>95</v>
      </c>
      <c r="C106" s="636"/>
      <c r="D106" s="289" t="s">
        <v>96</v>
      </c>
      <c r="E106" s="289">
        <v>1</v>
      </c>
      <c r="F106" s="289"/>
      <c r="G106" s="289"/>
    </row>
    <row r="107" spans="1:7" ht="15" customHeight="1">
      <c r="A107" s="260"/>
      <c r="B107" s="636" t="s">
        <v>97</v>
      </c>
      <c r="C107" s="636"/>
      <c r="D107" s="289" t="s">
        <v>91</v>
      </c>
      <c r="E107" s="289">
        <v>25</v>
      </c>
      <c r="F107" s="289"/>
      <c r="G107" s="289"/>
    </row>
    <row r="108" spans="1:7" ht="15" customHeight="1">
      <c r="A108" s="260"/>
      <c r="B108" s="636" t="s">
        <v>114</v>
      </c>
      <c r="C108" s="636"/>
      <c r="D108" s="289" t="s">
        <v>85</v>
      </c>
      <c r="E108" s="289"/>
      <c r="F108" s="289">
        <v>16.04</v>
      </c>
      <c r="G108" s="290">
        <f>E106*E107*F108</f>
        <v>401</v>
      </c>
    </row>
    <row r="109" spans="1:7" ht="15" customHeight="1">
      <c r="A109" s="260" t="s">
        <v>19</v>
      </c>
      <c r="B109" s="635" t="s">
        <v>115</v>
      </c>
      <c r="C109" s="635"/>
      <c r="D109" s="289"/>
      <c r="E109" s="289"/>
      <c r="F109" s="289"/>
      <c r="G109" s="289"/>
    </row>
    <row r="110" spans="1:7" ht="15" customHeight="1">
      <c r="A110" s="260"/>
      <c r="B110" s="636" t="s">
        <v>116</v>
      </c>
      <c r="C110" s="636"/>
      <c r="D110" s="289" t="s">
        <v>117</v>
      </c>
      <c r="E110" s="289">
        <v>8</v>
      </c>
      <c r="F110" s="289"/>
      <c r="G110" s="289"/>
    </row>
    <row r="111" spans="1:7" ht="15" customHeight="1">
      <c r="A111" s="260"/>
      <c r="B111" s="636" t="s">
        <v>118</v>
      </c>
      <c r="C111" s="636"/>
      <c r="D111" s="289" t="s">
        <v>85</v>
      </c>
      <c r="E111" s="289">
        <v>10</v>
      </c>
      <c r="F111" s="293">
        <f>(14249.86+97346.65)/73/12/193*0.5</f>
        <v>0.3300343944448388</v>
      </c>
      <c r="G111" s="290">
        <f>E110*E111*F111</f>
        <v>26.402751555587102</v>
      </c>
    </row>
    <row r="112" spans="1:7" ht="15" customHeight="1">
      <c r="A112" s="260" t="s">
        <v>54</v>
      </c>
      <c r="B112" s="635" t="s">
        <v>119</v>
      </c>
      <c r="C112" s="635"/>
      <c r="D112" s="289"/>
      <c r="E112" s="289"/>
      <c r="F112" s="289"/>
      <c r="G112" s="289"/>
    </row>
    <row r="113" spans="1:7" ht="15" customHeight="1">
      <c r="A113" s="260"/>
      <c r="B113" s="636" t="s">
        <v>120</v>
      </c>
      <c r="C113" s="636"/>
      <c r="D113" s="289" t="s">
        <v>117</v>
      </c>
      <c r="E113" s="289"/>
      <c r="F113" s="289"/>
      <c r="G113" s="289"/>
    </row>
    <row r="114" spans="1:7" ht="15" customHeight="1">
      <c r="A114" s="260"/>
      <c r="B114" s="636" t="s">
        <v>121</v>
      </c>
      <c r="C114" s="636"/>
      <c r="D114" s="289" t="s">
        <v>85</v>
      </c>
      <c r="E114" s="289"/>
      <c r="F114" s="289"/>
      <c r="G114" s="289">
        <f>E113*E114*F114</f>
        <v>0</v>
      </c>
    </row>
    <row r="115" spans="1:7" ht="15" customHeight="1">
      <c r="A115" s="260" t="s">
        <v>22</v>
      </c>
      <c r="B115" s="635" t="s">
        <v>99</v>
      </c>
      <c r="C115" s="635"/>
      <c r="D115" s="289"/>
      <c r="E115" s="289"/>
      <c r="F115" s="289"/>
      <c r="G115" s="289"/>
    </row>
    <row r="116" spans="1:7" ht="15" customHeight="1">
      <c r="A116" s="260"/>
      <c r="B116" s="636" t="s">
        <v>97</v>
      </c>
      <c r="C116" s="636"/>
      <c r="D116" s="289" t="s">
        <v>91</v>
      </c>
      <c r="E116" s="290">
        <v>40</v>
      </c>
      <c r="F116" s="289"/>
      <c r="G116" s="289"/>
    </row>
    <row r="117" spans="1:7" ht="15" customHeight="1">
      <c r="A117" s="260"/>
      <c r="B117" s="636" t="s">
        <v>102</v>
      </c>
      <c r="C117" s="636"/>
      <c r="D117" s="289" t="s">
        <v>85</v>
      </c>
      <c r="E117" s="289"/>
      <c r="F117" s="289">
        <v>3.71</v>
      </c>
      <c r="G117" s="290">
        <f>E116*F117</f>
        <v>148.4</v>
      </c>
    </row>
    <row r="118" spans="1:7" ht="14.25" customHeight="1">
      <c r="A118" s="260" t="s">
        <v>72</v>
      </c>
      <c r="B118" s="635" t="s">
        <v>400</v>
      </c>
      <c r="C118" s="635"/>
      <c r="D118" s="289"/>
      <c r="E118" s="289"/>
      <c r="F118" s="289"/>
      <c r="G118" s="289"/>
    </row>
    <row r="119" spans="1:7" ht="15" customHeight="1">
      <c r="A119" s="301"/>
      <c r="B119" s="636" t="s">
        <v>116</v>
      </c>
      <c r="C119" s="636"/>
      <c r="D119" s="289" t="s">
        <v>117</v>
      </c>
      <c r="E119" s="289"/>
      <c r="F119" s="289"/>
      <c r="G119" s="289"/>
    </row>
    <row r="120" spans="1:7" ht="15" customHeight="1">
      <c r="A120" s="301"/>
      <c r="B120" s="636" t="s">
        <v>118</v>
      </c>
      <c r="C120" s="636"/>
      <c r="D120" s="289" t="s">
        <v>85</v>
      </c>
      <c r="E120" s="289"/>
      <c r="F120" s="293"/>
      <c r="G120" s="290">
        <f>E119*E120*F120</f>
        <v>0</v>
      </c>
    </row>
    <row r="121" spans="1:7" ht="18.75" customHeight="1">
      <c r="A121" s="260"/>
      <c r="B121" s="631" t="s">
        <v>123</v>
      </c>
      <c r="C121" s="632"/>
      <c r="D121" s="260"/>
      <c r="E121" s="261"/>
      <c r="F121" s="260"/>
      <c r="G121" s="263">
        <f>SUM(G102:G120)</f>
        <v>575.8027515555871</v>
      </c>
    </row>
    <row r="122" ht="18.75" customHeight="1">
      <c r="A122" s="245"/>
    </row>
    <row r="123" ht="18.75" customHeight="1">
      <c r="A123" s="254" t="s">
        <v>124</v>
      </c>
    </row>
    <row r="124" ht="15" thickBot="1">
      <c r="A124" s="254"/>
    </row>
    <row r="125" spans="1:9" ht="29.25" customHeight="1" thickBot="1">
      <c r="A125" s="279" t="s">
        <v>37</v>
      </c>
      <c r="B125" s="297" t="s">
        <v>38</v>
      </c>
      <c r="C125" s="298"/>
      <c r="D125" s="299" t="s">
        <v>39</v>
      </c>
      <c r="E125" s="302" t="s">
        <v>207</v>
      </c>
      <c r="F125" s="280" t="s">
        <v>58</v>
      </c>
      <c r="G125" s="280" t="s">
        <v>59</v>
      </c>
      <c r="H125" s="303"/>
      <c r="I125" s="304"/>
    </row>
    <row r="126" spans="1:9" ht="15" customHeight="1">
      <c r="A126" s="272" t="s">
        <v>9</v>
      </c>
      <c r="B126" s="634" t="s">
        <v>401</v>
      </c>
      <c r="C126" s="634"/>
      <c r="D126" s="300" t="s">
        <v>96</v>
      </c>
      <c r="E126" s="300">
        <v>2</v>
      </c>
      <c r="F126" s="300"/>
      <c r="G126" s="300"/>
      <c r="H126" s="266"/>
      <c r="I126" s="304"/>
    </row>
    <row r="127" spans="1:9" ht="15" customHeight="1">
      <c r="A127" s="260" t="s">
        <v>45</v>
      </c>
      <c r="B127" s="633" t="s">
        <v>126</v>
      </c>
      <c r="C127" s="633"/>
      <c r="D127" s="289" t="s">
        <v>127</v>
      </c>
      <c r="E127" s="289">
        <v>300</v>
      </c>
      <c r="F127" s="289"/>
      <c r="G127" s="289"/>
      <c r="H127" s="266"/>
      <c r="I127" s="304"/>
    </row>
    <row r="128" spans="1:9" ht="16.5" customHeight="1">
      <c r="A128" s="260" t="s">
        <v>14</v>
      </c>
      <c r="B128" s="633" t="s">
        <v>128</v>
      </c>
      <c r="C128" s="633"/>
      <c r="D128" s="289" t="s">
        <v>91</v>
      </c>
      <c r="E128" s="289">
        <v>130</v>
      </c>
      <c r="F128" s="293">
        <f>1880.95/712.5</f>
        <v>2.6399298245614036</v>
      </c>
      <c r="G128" s="290">
        <f>E126*E128*F128</f>
        <v>686.3817543859649</v>
      </c>
      <c r="H128" s="266"/>
      <c r="I128" s="304"/>
    </row>
    <row r="129" spans="1:9" ht="14.25" customHeight="1">
      <c r="A129" s="260" t="s">
        <v>49</v>
      </c>
      <c r="B129" s="633" t="s">
        <v>130</v>
      </c>
      <c r="C129" s="633"/>
      <c r="D129" s="289" t="s">
        <v>131</v>
      </c>
      <c r="E129" s="289"/>
      <c r="F129" s="289"/>
      <c r="G129" s="290"/>
      <c r="H129" s="266"/>
      <c r="I129" s="304"/>
    </row>
    <row r="130" spans="1:9" ht="15" customHeight="1">
      <c r="A130" s="260"/>
      <c r="B130" s="633" t="s">
        <v>132</v>
      </c>
      <c r="C130" s="633"/>
      <c r="D130" s="289" t="s">
        <v>131</v>
      </c>
      <c r="E130" s="289"/>
      <c r="F130" s="289"/>
      <c r="G130" s="290">
        <f>E130*F130</f>
        <v>0</v>
      </c>
      <c r="H130" s="266"/>
      <c r="I130" s="304"/>
    </row>
    <row r="131" spans="1:9" ht="15">
      <c r="A131" s="260"/>
      <c r="B131" s="633" t="s">
        <v>133</v>
      </c>
      <c r="C131" s="633"/>
      <c r="D131" s="289" t="s">
        <v>131</v>
      </c>
      <c r="E131" s="292"/>
      <c r="F131" s="289"/>
      <c r="G131" s="290">
        <f>E131*F131</f>
        <v>0</v>
      </c>
      <c r="H131" s="266"/>
      <c r="I131" s="304"/>
    </row>
    <row r="132" spans="1:9" ht="15">
      <c r="A132" s="260"/>
      <c r="B132" s="633" t="s">
        <v>134</v>
      </c>
      <c r="C132" s="633"/>
      <c r="D132" s="289" t="s">
        <v>131</v>
      </c>
      <c r="E132" s="289">
        <f>12/100*E127</f>
        <v>36</v>
      </c>
      <c r="F132" s="289">
        <v>8.38</v>
      </c>
      <c r="G132" s="290">
        <f>E132*F132</f>
        <v>301.68</v>
      </c>
      <c r="H132" s="266"/>
      <c r="I132" s="304"/>
    </row>
    <row r="133" spans="1:9" ht="15">
      <c r="A133" s="260"/>
      <c r="B133" s="631" t="s">
        <v>135</v>
      </c>
      <c r="C133" s="632"/>
      <c r="D133" s="260"/>
      <c r="E133" s="261"/>
      <c r="F133" s="260"/>
      <c r="G133" s="263">
        <f>SUM(G126:G132)</f>
        <v>988.0617543859648</v>
      </c>
      <c r="H133" s="266"/>
      <c r="I133" s="304"/>
    </row>
    <row r="134" spans="1:9" ht="12.75">
      <c r="A134" s="296"/>
      <c r="B134" s="296"/>
      <c r="C134" s="296"/>
      <c r="D134" s="296"/>
      <c r="E134" s="296"/>
      <c r="F134" s="296"/>
      <c r="G134" s="296"/>
      <c r="H134" s="296"/>
      <c r="I134" s="296"/>
    </row>
    <row r="135" ht="15" thickBot="1">
      <c r="A135" s="254" t="s">
        <v>136</v>
      </c>
    </row>
    <row r="136" spans="1:7" ht="28.5" customHeight="1" thickBot="1">
      <c r="A136" s="279" t="s">
        <v>37</v>
      </c>
      <c r="B136" s="297" t="s">
        <v>38</v>
      </c>
      <c r="C136" s="298"/>
      <c r="D136" s="280" t="s">
        <v>39</v>
      </c>
      <c r="E136" s="280" t="s">
        <v>207</v>
      </c>
      <c r="F136" s="280" t="s">
        <v>58</v>
      </c>
      <c r="G136" s="280" t="s">
        <v>59</v>
      </c>
    </row>
    <row r="137" spans="1:7" ht="14.25" customHeight="1">
      <c r="A137" s="272" t="s">
        <v>9</v>
      </c>
      <c r="B137" s="634" t="s">
        <v>137</v>
      </c>
      <c r="C137" s="634"/>
      <c r="D137" s="272"/>
      <c r="E137" s="300"/>
      <c r="F137" s="300"/>
      <c r="G137" s="300"/>
    </row>
    <row r="138" spans="1:7" ht="14.25" customHeight="1">
      <c r="A138" s="260" t="s">
        <v>45</v>
      </c>
      <c r="B138" s="633" t="s">
        <v>139</v>
      </c>
      <c r="C138" s="633"/>
      <c r="D138" s="648"/>
      <c r="E138" s="648"/>
      <c r="F138" s="648"/>
      <c r="G138" s="648"/>
    </row>
    <row r="139" spans="1:7" ht="14.25" customHeight="1">
      <c r="A139" s="260" t="s">
        <v>14</v>
      </c>
      <c r="B139" s="633" t="s">
        <v>140</v>
      </c>
      <c r="C139" s="633"/>
      <c r="D139" s="648"/>
      <c r="E139" s="648"/>
      <c r="F139" s="648"/>
      <c r="G139" s="648"/>
    </row>
    <row r="140" spans="1:7" ht="15" customHeight="1">
      <c r="A140" s="260" t="s">
        <v>49</v>
      </c>
      <c r="B140" s="633" t="s">
        <v>141</v>
      </c>
      <c r="C140" s="633"/>
      <c r="D140" s="260" t="s">
        <v>402</v>
      </c>
      <c r="E140" s="289"/>
      <c r="F140" s="337"/>
      <c r="G140" s="312">
        <f>E140*F140*E137</f>
        <v>0</v>
      </c>
    </row>
    <row r="141" spans="1:7" ht="15" customHeight="1">
      <c r="A141" s="260" t="s">
        <v>19</v>
      </c>
      <c r="B141" s="633" t="s">
        <v>142</v>
      </c>
      <c r="C141" s="633"/>
      <c r="D141" s="260" t="s">
        <v>402</v>
      </c>
      <c r="E141" s="289"/>
      <c r="F141" s="337"/>
      <c r="G141" s="312">
        <f>E141*F141*E137</f>
        <v>0</v>
      </c>
    </row>
    <row r="142" spans="1:7" ht="15" customHeight="1">
      <c r="A142" s="260" t="s">
        <v>54</v>
      </c>
      <c r="B142" s="633" t="s">
        <v>143</v>
      </c>
      <c r="C142" s="633"/>
      <c r="D142" s="260" t="s">
        <v>85</v>
      </c>
      <c r="E142" s="289"/>
      <c r="F142" s="289"/>
      <c r="G142" s="289"/>
    </row>
    <row r="143" spans="1:7" ht="15" customHeight="1">
      <c r="A143" s="260" t="s">
        <v>22</v>
      </c>
      <c r="B143" s="633" t="s">
        <v>144</v>
      </c>
      <c r="C143" s="633"/>
      <c r="D143" s="260" t="s">
        <v>85</v>
      </c>
      <c r="E143" s="289"/>
      <c r="F143" s="289"/>
      <c r="G143" s="289">
        <f>E137*F143</f>
        <v>0</v>
      </c>
    </row>
    <row r="144" spans="1:7" ht="15" customHeight="1">
      <c r="A144" s="260" t="s">
        <v>72</v>
      </c>
      <c r="B144" s="633" t="s">
        <v>145</v>
      </c>
      <c r="C144" s="633"/>
      <c r="D144" s="260" t="s">
        <v>85</v>
      </c>
      <c r="E144" s="289"/>
      <c r="F144" s="289"/>
      <c r="G144" s="289">
        <f>E137*F144</f>
        <v>0</v>
      </c>
    </row>
    <row r="145" spans="1:7" ht="15" customHeight="1">
      <c r="A145" s="260" t="s">
        <v>26</v>
      </c>
      <c r="B145" s="633" t="s">
        <v>146</v>
      </c>
      <c r="C145" s="633"/>
      <c r="D145" s="260" t="s">
        <v>85</v>
      </c>
      <c r="E145" s="289"/>
      <c r="F145" s="289"/>
      <c r="G145" s="289">
        <f>F145</f>
        <v>0</v>
      </c>
    </row>
    <row r="146" spans="1:7" ht="15" customHeight="1">
      <c r="A146" s="260" t="s">
        <v>31</v>
      </c>
      <c r="B146" s="633"/>
      <c r="C146" s="633"/>
      <c r="D146" s="260"/>
      <c r="E146" s="289"/>
      <c r="F146" s="289"/>
      <c r="G146" s="289"/>
    </row>
    <row r="147" spans="1:7" ht="15" customHeight="1">
      <c r="A147" s="260"/>
      <c r="B147" s="631" t="s">
        <v>147</v>
      </c>
      <c r="C147" s="632"/>
      <c r="D147" s="260"/>
      <c r="E147" s="261"/>
      <c r="F147" s="260"/>
      <c r="G147" s="263">
        <f>SUM(G140:G146)</f>
        <v>0</v>
      </c>
    </row>
    <row r="148" ht="14.25">
      <c r="A148" s="245"/>
    </row>
    <row r="149" ht="14.25">
      <c r="A149" s="254" t="s">
        <v>148</v>
      </c>
    </row>
    <row r="150" ht="15" thickBot="1">
      <c r="A150" s="254"/>
    </row>
    <row r="151" spans="1:7" ht="28.5" customHeight="1" thickBot="1">
      <c r="A151" s="279" t="s">
        <v>37</v>
      </c>
      <c r="B151" s="652" t="s">
        <v>38</v>
      </c>
      <c r="C151" s="653"/>
      <c r="D151" s="299" t="s">
        <v>39</v>
      </c>
      <c r="E151" s="280" t="s">
        <v>207</v>
      </c>
      <c r="F151" s="280" t="s">
        <v>58</v>
      </c>
      <c r="G151" s="280" t="s">
        <v>59</v>
      </c>
    </row>
    <row r="152" spans="1:7" ht="14.25" customHeight="1">
      <c r="A152" s="272" t="s">
        <v>9</v>
      </c>
      <c r="B152" s="634" t="s">
        <v>149</v>
      </c>
      <c r="C152" s="634"/>
      <c r="D152" s="272" t="s">
        <v>85</v>
      </c>
      <c r="E152" s="300"/>
      <c r="F152" s="300"/>
      <c r="G152" s="300">
        <f>1500/3</f>
        <v>500</v>
      </c>
    </row>
    <row r="153" spans="1:7" ht="14.25" customHeight="1">
      <c r="A153" s="260" t="s">
        <v>45</v>
      </c>
      <c r="B153" s="633" t="s">
        <v>404</v>
      </c>
      <c r="C153" s="633"/>
      <c r="D153" s="260" t="s">
        <v>85</v>
      </c>
      <c r="E153" s="289"/>
      <c r="F153" s="289"/>
      <c r="G153" s="290">
        <f>2000/3</f>
        <v>666.6666666666666</v>
      </c>
    </row>
    <row r="154" spans="1:7" ht="15" customHeight="1">
      <c r="A154" s="260" t="s">
        <v>14</v>
      </c>
      <c r="B154" s="633" t="s">
        <v>405</v>
      </c>
      <c r="C154" s="633"/>
      <c r="D154" s="260" t="s">
        <v>96</v>
      </c>
      <c r="E154" s="289">
        <v>3</v>
      </c>
      <c r="F154" s="289">
        <v>271.78</v>
      </c>
      <c r="G154" s="290">
        <f>E154*F154</f>
        <v>815.3399999999999</v>
      </c>
    </row>
    <row r="155" spans="1:7" ht="14.25">
      <c r="A155" s="260" t="s">
        <v>49</v>
      </c>
      <c r="B155" s="633" t="s">
        <v>152</v>
      </c>
      <c r="C155" s="633"/>
      <c r="D155" s="260" t="s">
        <v>96</v>
      </c>
      <c r="E155" s="289">
        <v>3</v>
      </c>
      <c r="F155" s="292">
        <v>14</v>
      </c>
      <c r="G155" s="289">
        <f>E155*F155</f>
        <v>42</v>
      </c>
    </row>
    <row r="156" spans="1:7" ht="15" customHeight="1">
      <c r="A156" s="260" t="s">
        <v>19</v>
      </c>
      <c r="B156" s="633" t="s">
        <v>466</v>
      </c>
      <c r="C156" s="633"/>
      <c r="D156" s="260"/>
      <c r="E156" s="289"/>
      <c r="F156" s="289"/>
      <c r="G156" s="290">
        <f>4000/3</f>
        <v>1333.3333333333333</v>
      </c>
    </row>
    <row r="157" spans="1:7" ht="15" customHeight="1">
      <c r="A157" s="260" t="s">
        <v>54</v>
      </c>
      <c r="B157" s="633" t="s">
        <v>154</v>
      </c>
      <c r="C157" s="633"/>
      <c r="D157" s="260"/>
      <c r="E157" s="289"/>
      <c r="F157" s="289"/>
      <c r="G157" s="290">
        <f>4000/3</f>
        <v>1333.3333333333333</v>
      </c>
    </row>
    <row r="158" spans="1:7" ht="15" customHeight="1">
      <c r="A158" s="260" t="s">
        <v>22</v>
      </c>
      <c r="B158" s="633" t="s">
        <v>155</v>
      </c>
      <c r="C158" s="633"/>
      <c r="D158" s="260"/>
      <c r="E158" s="289"/>
      <c r="F158" s="293"/>
      <c r="G158" s="289"/>
    </row>
    <row r="159" spans="1:7" ht="15" customHeight="1">
      <c r="A159" s="260" t="s">
        <v>72</v>
      </c>
      <c r="B159" s="633" t="s">
        <v>156</v>
      </c>
      <c r="C159" s="633"/>
      <c r="D159" s="260"/>
      <c r="E159" s="289"/>
      <c r="F159" s="289"/>
      <c r="G159" s="289">
        <f>1500/3</f>
        <v>500</v>
      </c>
    </row>
    <row r="160" spans="1:7" ht="15" customHeight="1">
      <c r="A160" s="260" t="s">
        <v>26</v>
      </c>
      <c r="B160" s="633" t="s">
        <v>306</v>
      </c>
      <c r="C160" s="633"/>
      <c r="D160" s="260" t="s">
        <v>85</v>
      </c>
      <c r="E160" s="289"/>
      <c r="F160" s="289"/>
      <c r="G160" s="289"/>
    </row>
    <row r="161" spans="1:7" ht="15" customHeight="1">
      <c r="A161" s="260"/>
      <c r="B161" s="664" t="s">
        <v>473</v>
      </c>
      <c r="C161" s="665"/>
      <c r="D161" s="260"/>
      <c r="E161" s="289"/>
      <c r="F161" s="289"/>
      <c r="G161" s="289">
        <f>300000/3</f>
        <v>100000</v>
      </c>
    </row>
    <row r="162" spans="1:7" ht="15" customHeight="1">
      <c r="A162" s="260"/>
      <c r="B162" s="631" t="s">
        <v>158</v>
      </c>
      <c r="C162" s="632"/>
      <c r="D162" s="260"/>
      <c r="E162" s="261"/>
      <c r="F162" s="260"/>
      <c r="G162" s="263">
        <f>SUM(G152:G161)</f>
        <v>105190.67333333334</v>
      </c>
    </row>
    <row r="163" ht="14.25">
      <c r="A163" s="245"/>
    </row>
    <row r="164" ht="14.25">
      <c r="A164" s="254" t="s">
        <v>159</v>
      </c>
    </row>
    <row r="165" ht="15" thickBot="1">
      <c r="A165" s="254"/>
    </row>
    <row r="166" spans="1:7" ht="28.5" customHeight="1">
      <c r="A166" s="637" t="s">
        <v>37</v>
      </c>
      <c r="B166" s="642" t="s">
        <v>38</v>
      </c>
      <c r="C166" s="643"/>
      <c r="D166" s="255" t="s">
        <v>39</v>
      </c>
      <c r="E166" s="256" t="s">
        <v>207</v>
      </c>
      <c r="F166" s="256" t="s">
        <v>58</v>
      </c>
      <c r="G166" s="256" t="s">
        <v>59</v>
      </c>
    </row>
    <row r="167" spans="1:7" ht="15" customHeight="1" thickBot="1">
      <c r="A167" s="638"/>
      <c r="B167" s="644"/>
      <c r="C167" s="645"/>
      <c r="D167" s="257"/>
      <c r="E167" s="258"/>
      <c r="F167" s="258"/>
      <c r="G167" s="258"/>
    </row>
    <row r="168" spans="1:7" ht="15" customHeight="1">
      <c r="A168" s="272" t="s">
        <v>9</v>
      </c>
      <c r="B168" s="646" t="s">
        <v>160</v>
      </c>
      <c r="C168" s="647"/>
      <c r="D168" s="272" t="s">
        <v>85</v>
      </c>
      <c r="E168" s="272"/>
      <c r="F168" s="272"/>
      <c r="G168" s="272">
        <f>E168*F168</f>
        <v>0</v>
      </c>
    </row>
    <row r="169" spans="1:7" ht="15" customHeight="1">
      <c r="A169" s="260"/>
      <c r="B169" s="658"/>
      <c r="C169" s="658"/>
      <c r="D169" s="260"/>
      <c r="E169" s="260"/>
      <c r="F169" s="260"/>
      <c r="G169" s="260"/>
    </row>
    <row r="170" spans="1:7" ht="15" customHeight="1">
      <c r="A170" s="260"/>
      <c r="B170" s="631" t="s">
        <v>161</v>
      </c>
      <c r="C170" s="632"/>
      <c r="D170" s="260"/>
      <c r="E170" s="260"/>
      <c r="F170" s="260"/>
      <c r="G170" s="260">
        <f>SUM(G168:G169)</f>
        <v>0</v>
      </c>
    </row>
    <row r="171" ht="15" customHeight="1">
      <c r="A171" s="245"/>
    </row>
    <row r="172" ht="14.25">
      <c r="A172" s="254" t="s">
        <v>162</v>
      </c>
    </row>
    <row r="173" ht="15" thickBot="1">
      <c r="A173" s="254"/>
    </row>
    <row r="174" spans="1:7" ht="28.5" customHeight="1" thickBot="1">
      <c r="A174" s="279" t="s">
        <v>37</v>
      </c>
      <c r="B174" s="652" t="s">
        <v>38</v>
      </c>
      <c r="C174" s="653"/>
      <c r="D174" s="299" t="s">
        <v>39</v>
      </c>
      <c r="E174" s="280" t="s">
        <v>207</v>
      </c>
      <c r="F174" s="280" t="s">
        <v>58</v>
      </c>
      <c r="G174" s="280" t="s">
        <v>59</v>
      </c>
    </row>
    <row r="175" spans="1:7" ht="14.25" customHeight="1">
      <c r="A175" s="272" t="s">
        <v>9</v>
      </c>
      <c r="B175" s="634" t="s">
        <v>163</v>
      </c>
      <c r="C175" s="634"/>
      <c r="D175" s="272"/>
      <c r="E175" s="272"/>
      <c r="F175" s="272"/>
      <c r="G175" s="272"/>
    </row>
    <row r="176" spans="1:7" ht="14.25" customHeight="1">
      <c r="A176" s="260"/>
      <c r="B176" s="633" t="s">
        <v>164</v>
      </c>
      <c r="C176" s="633"/>
      <c r="D176" s="260" t="s">
        <v>165</v>
      </c>
      <c r="E176" s="289"/>
      <c r="F176" s="289"/>
      <c r="G176" s="289">
        <f>E176*F176</f>
        <v>0</v>
      </c>
    </row>
    <row r="177" spans="1:7" ht="14.25" customHeight="1">
      <c r="A177" s="260"/>
      <c r="B177" s="633" t="s">
        <v>167</v>
      </c>
      <c r="C177" s="633"/>
      <c r="D177" s="260" t="s">
        <v>165</v>
      </c>
      <c r="E177" s="289"/>
      <c r="F177" s="289"/>
      <c r="G177" s="289">
        <f>E177*F177</f>
        <v>0</v>
      </c>
    </row>
    <row r="178" spans="1:7" ht="14.25" customHeight="1">
      <c r="A178" s="260"/>
      <c r="B178" s="633" t="s">
        <v>168</v>
      </c>
      <c r="C178" s="633"/>
      <c r="D178" s="260" t="s">
        <v>165</v>
      </c>
      <c r="E178" s="289" t="s">
        <v>337</v>
      </c>
      <c r="F178" s="289">
        <v>49</v>
      </c>
      <c r="G178" s="289">
        <f>60*F178</f>
        <v>2940</v>
      </c>
    </row>
    <row r="179" spans="1:7" ht="29.25" customHeight="1">
      <c r="A179" s="260" t="s">
        <v>45</v>
      </c>
      <c r="B179" s="633" t="s">
        <v>170</v>
      </c>
      <c r="C179" s="633"/>
      <c r="D179" s="260" t="s">
        <v>165</v>
      </c>
      <c r="E179" s="289"/>
      <c r="F179" s="292"/>
      <c r="G179" s="289">
        <f>E179*F179</f>
        <v>0</v>
      </c>
    </row>
    <row r="180" spans="1:7" ht="15" customHeight="1">
      <c r="A180" s="260" t="s">
        <v>14</v>
      </c>
      <c r="B180" s="633" t="s">
        <v>171</v>
      </c>
      <c r="C180" s="633"/>
      <c r="D180" s="260" t="s">
        <v>85</v>
      </c>
      <c r="E180" s="289"/>
      <c r="F180" s="289"/>
      <c r="G180" s="289">
        <f>E180*F180</f>
        <v>0</v>
      </c>
    </row>
    <row r="181" spans="1:9" ht="15" customHeight="1">
      <c r="A181" s="260" t="s">
        <v>49</v>
      </c>
      <c r="B181" s="633" t="s">
        <v>172</v>
      </c>
      <c r="C181" s="633"/>
      <c r="D181" s="260" t="s">
        <v>91</v>
      </c>
      <c r="E181" s="289" t="s">
        <v>218</v>
      </c>
      <c r="F181" s="322">
        <f>23700*1.265/722.42</f>
        <v>41.500096896542175</v>
      </c>
      <c r="G181" s="323">
        <f>30/60*F181</f>
        <v>20.750048448271087</v>
      </c>
      <c r="H181" s="324"/>
      <c r="I181" s="324" t="s">
        <v>173</v>
      </c>
    </row>
    <row r="182" spans="1:7" ht="15" customHeight="1">
      <c r="A182" s="260" t="s">
        <v>19</v>
      </c>
      <c r="B182" s="633" t="s">
        <v>174</v>
      </c>
      <c r="C182" s="633"/>
      <c r="D182" s="260" t="s">
        <v>43</v>
      </c>
      <c r="E182" s="289">
        <v>10</v>
      </c>
      <c r="F182" s="306">
        <f>F55*1.265</f>
        <v>46.86493765586035</v>
      </c>
      <c r="G182" s="290">
        <f>E182*F182</f>
        <v>468.64937655860354</v>
      </c>
    </row>
    <row r="183" spans="1:9" ht="14.25" customHeight="1">
      <c r="A183" s="260" t="s">
        <v>54</v>
      </c>
      <c r="B183" s="633" t="s">
        <v>175</v>
      </c>
      <c r="C183" s="633"/>
      <c r="D183" s="260" t="s">
        <v>43</v>
      </c>
      <c r="E183" s="329" t="s">
        <v>626</v>
      </c>
      <c r="F183" s="322">
        <f>16900*1.265/210</f>
        <v>101.80238095238096</v>
      </c>
      <c r="G183" s="290">
        <f>E183*F183</f>
        <v>661.7154761904762</v>
      </c>
      <c r="I183" s="325" t="s">
        <v>415</v>
      </c>
    </row>
    <row r="184" spans="1:7" ht="14.25" customHeight="1">
      <c r="A184" s="260" t="s">
        <v>22</v>
      </c>
      <c r="B184" s="633" t="s">
        <v>176</v>
      </c>
      <c r="C184" s="633"/>
      <c r="D184" s="260" t="s">
        <v>43</v>
      </c>
      <c r="E184" s="307"/>
      <c r="F184" s="289"/>
      <c r="G184" s="289">
        <f>E184*F184</f>
        <v>0</v>
      </c>
    </row>
    <row r="185" spans="1:7" ht="15" customHeight="1">
      <c r="A185" s="260" t="s">
        <v>72</v>
      </c>
      <c r="B185" s="633" t="s">
        <v>209</v>
      </c>
      <c r="C185" s="633"/>
      <c r="D185" s="260" t="s">
        <v>85</v>
      </c>
      <c r="E185" s="289"/>
      <c r="F185" s="289"/>
      <c r="G185" s="289">
        <f>E185*F185</f>
        <v>0</v>
      </c>
    </row>
    <row r="186" spans="1:7" ht="15" customHeight="1">
      <c r="A186" s="260"/>
      <c r="B186" s="631" t="s">
        <v>177</v>
      </c>
      <c r="C186" s="632"/>
      <c r="D186" s="260"/>
      <c r="E186" s="260"/>
      <c r="F186" s="260"/>
      <c r="G186" s="263">
        <f>SUM(G176:G185)</f>
        <v>4091.1149011973507</v>
      </c>
    </row>
    <row r="187" ht="13.5" customHeight="1">
      <c r="A187" s="245"/>
    </row>
    <row r="188" ht="14.25">
      <c r="A188" s="254" t="s">
        <v>178</v>
      </c>
    </row>
    <row r="189" ht="15" thickBot="1">
      <c r="A189" s="254"/>
    </row>
    <row r="190" spans="1:7" ht="28.5" customHeight="1" thickBot="1">
      <c r="A190" s="279" t="s">
        <v>37</v>
      </c>
      <c r="B190" s="652" t="s">
        <v>38</v>
      </c>
      <c r="C190" s="653"/>
      <c r="D190" s="299" t="s">
        <v>39</v>
      </c>
      <c r="E190" s="280" t="s">
        <v>207</v>
      </c>
      <c r="F190" s="280" t="s">
        <v>58</v>
      </c>
      <c r="G190" s="280" t="s">
        <v>59</v>
      </c>
    </row>
    <row r="191" spans="1:7" ht="15" customHeight="1">
      <c r="A191" s="272" t="s">
        <v>9</v>
      </c>
      <c r="B191" s="634" t="s">
        <v>179</v>
      </c>
      <c r="C191" s="634"/>
      <c r="D191" s="272" t="s">
        <v>180</v>
      </c>
      <c r="E191" s="300"/>
      <c r="F191" s="308"/>
      <c r="G191" s="311">
        <f>E191*F191</f>
        <v>0</v>
      </c>
    </row>
    <row r="192" spans="1:7" ht="15" customHeight="1">
      <c r="A192" s="260" t="s">
        <v>45</v>
      </c>
      <c r="B192" s="633" t="s">
        <v>181</v>
      </c>
      <c r="C192" s="633"/>
      <c r="D192" s="260" t="s">
        <v>180</v>
      </c>
      <c r="E192" s="289"/>
      <c r="F192" s="306"/>
      <c r="G192" s="290">
        <f>E192*F192</f>
        <v>0</v>
      </c>
    </row>
    <row r="193" spans="1:7" ht="15" customHeight="1">
      <c r="A193" s="260" t="s">
        <v>14</v>
      </c>
      <c r="B193" s="633" t="s">
        <v>182</v>
      </c>
      <c r="C193" s="633"/>
      <c r="D193" s="260" t="s">
        <v>180</v>
      </c>
      <c r="E193" s="289"/>
      <c r="F193" s="293"/>
      <c r="G193" s="290">
        <f>E193*F193*0.5</f>
        <v>0</v>
      </c>
    </row>
    <row r="194" spans="1:7" ht="15" customHeight="1">
      <c r="A194" s="260" t="s">
        <v>49</v>
      </c>
      <c r="B194" s="633" t="s">
        <v>455</v>
      </c>
      <c r="C194" s="633"/>
      <c r="D194" s="260" t="s">
        <v>180</v>
      </c>
      <c r="E194" s="260"/>
      <c r="F194" s="260"/>
      <c r="G194" s="290">
        <f>E194*F194*0.5</f>
        <v>0</v>
      </c>
    </row>
    <row r="195" spans="1:7" ht="15" customHeight="1">
      <c r="A195" s="260"/>
      <c r="B195" s="631" t="s">
        <v>183</v>
      </c>
      <c r="C195" s="632"/>
      <c r="D195" s="260"/>
      <c r="E195" s="260"/>
      <c r="F195" s="260"/>
      <c r="G195" s="263">
        <f>SUM(G191:G194)</f>
        <v>0</v>
      </c>
    </row>
    <row r="196" ht="14.25">
      <c r="A196" s="245"/>
    </row>
    <row r="197" ht="14.25">
      <c r="A197" s="245"/>
    </row>
    <row r="198" ht="14.25">
      <c r="A198" s="245"/>
    </row>
    <row r="199" ht="14.25">
      <c r="A199" s="245" t="s">
        <v>184</v>
      </c>
    </row>
    <row r="200" ht="15" thickBot="1">
      <c r="A200" s="245"/>
    </row>
    <row r="201" spans="1:7" ht="28.5" customHeight="1" thickBot="1">
      <c r="A201" s="279" t="s">
        <v>37</v>
      </c>
      <c r="B201" s="652" t="s">
        <v>38</v>
      </c>
      <c r="C201" s="653"/>
      <c r="D201" s="299" t="s">
        <v>39</v>
      </c>
      <c r="E201" s="280" t="s">
        <v>210</v>
      </c>
      <c r="F201" s="280" t="s">
        <v>58</v>
      </c>
      <c r="G201" s="280" t="s">
        <v>59</v>
      </c>
    </row>
    <row r="202" spans="1:7" ht="15" customHeight="1">
      <c r="A202" s="272" t="s">
        <v>9</v>
      </c>
      <c r="B202" s="634" t="s">
        <v>185</v>
      </c>
      <c r="C202" s="634"/>
      <c r="D202" s="272" t="s">
        <v>85</v>
      </c>
      <c r="E202" s="300">
        <v>3</v>
      </c>
      <c r="F202" s="300">
        <v>32.6</v>
      </c>
      <c r="G202" s="311">
        <f>E202*F202</f>
        <v>97.80000000000001</v>
      </c>
    </row>
    <row r="203" spans="1:10" ht="14.25" customHeight="1">
      <c r="A203" s="260" t="s">
        <v>45</v>
      </c>
      <c r="B203" s="633" t="s">
        <v>186</v>
      </c>
      <c r="C203" s="633"/>
      <c r="D203" s="260" t="s">
        <v>85</v>
      </c>
      <c r="E203" s="114"/>
      <c r="F203" s="44">
        <f>(1151.55+210.41+5.7+145.58)*1.2</f>
        <v>1815.888</v>
      </c>
      <c r="G203" s="103">
        <f>F203*E202</f>
        <v>5447.664</v>
      </c>
      <c r="H203" s="65"/>
      <c r="I203" s="65"/>
      <c r="J203" s="65"/>
    </row>
    <row r="204" spans="1:10" ht="14.25" customHeight="1">
      <c r="A204" s="260" t="s">
        <v>14</v>
      </c>
      <c r="B204" s="633" t="s">
        <v>187</v>
      </c>
      <c r="C204" s="633"/>
      <c r="D204" s="260" t="s">
        <v>85</v>
      </c>
      <c r="E204" s="114"/>
      <c r="F204" s="114"/>
      <c r="G204" s="114"/>
      <c r="H204" s="65"/>
      <c r="I204" s="65"/>
      <c r="J204" s="65"/>
    </row>
    <row r="205" spans="1:10" ht="14.25">
      <c r="A205" s="260" t="s">
        <v>49</v>
      </c>
      <c r="B205" s="633" t="s">
        <v>188</v>
      </c>
      <c r="C205" s="633"/>
      <c r="D205" s="260" t="s">
        <v>85</v>
      </c>
      <c r="E205" s="114"/>
      <c r="F205" s="114"/>
      <c r="G205" s="114"/>
      <c r="H205" s="65"/>
      <c r="I205" s="65"/>
      <c r="J205" s="65"/>
    </row>
    <row r="206" spans="1:10" ht="15" customHeight="1">
      <c r="A206" s="260" t="s">
        <v>19</v>
      </c>
      <c r="B206" s="633" t="s">
        <v>407</v>
      </c>
      <c r="C206" s="633"/>
      <c r="D206" s="260" t="s">
        <v>85</v>
      </c>
      <c r="E206" s="114"/>
      <c r="F206" s="114"/>
      <c r="G206" s="114"/>
      <c r="H206" s="65"/>
      <c r="I206" s="65"/>
      <c r="J206" s="65"/>
    </row>
    <row r="207" spans="1:10" ht="15" customHeight="1">
      <c r="A207" s="260" t="s">
        <v>54</v>
      </c>
      <c r="B207" s="633" t="s">
        <v>190</v>
      </c>
      <c r="C207" s="633"/>
      <c r="D207" s="260" t="s">
        <v>101</v>
      </c>
      <c r="E207" s="241">
        <f>J207/F207</f>
        <v>108.44895020103</v>
      </c>
      <c r="F207" s="43">
        <v>1.68</v>
      </c>
      <c r="G207" s="240">
        <f>E207*F207</f>
        <v>182.1942363377304</v>
      </c>
      <c r="H207" s="54"/>
      <c r="I207" s="448">
        <f>1288300*0.4/8485.23</f>
        <v>60.7314121125768</v>
      </c>
      <c r="J207" s="448">
        <f>I207*E202</f>
        <v>182.1942363377304</v>
      </c>
    </row>
    <row r="208" spans="1:10" ht="15" customHeight="1">
      <c r="A208" s="260" t="s">
        <v>22</v>
      </c>
      <c r="B208" s="633" t="s">
        <v>191</v>
      </c>
      <c r="C208" s="633"/>
      <c r="D208" s="260" t="s">
        <v>192</v>
      </c>
      <c r="E208" s="446">
        <f>J208/F208</f>
        <v>0.6034981572323921</v>
      </c>
      <c r="F208" s="43">
        <f>987*1.2</f>
        <v>1184.3999999999999</v>
      </c>
      <c r="G208" s="240">
        <f>E208*F208</f>
        <v>714.7832174260451</v>
      </c>
      <c r="H208" s="54"/>
      <c r="I208" s="448">
        <f>2021700/8485.23</f>
        <v>238.26107247534836</v>
      </c>
      <c r="J208" s="448">
        <f>I208*E202</f>
        <v>714.7832174260451</v>
      </c>
    </row>
    <row r="209" spans="1:10" ht="15" customHeight="1">
      <c r="A209" s="260" t="s">
        <v>72</v>
      </c>
      <c r="B209" s="633" t="s">
        <v>193</v>
      </c>
      <c r="C209" s="633"/>
      <c r="D209" s="260" t="s">
        <v>85</v>
      </c>
      <c r="E209" s="447"/>
      <c r="F209" s="241">
        <f>(229000+16300)/8485.23</f>
        <v>28.909057267746427</v>
      </c>
      <c r="G209" s="240">
        <f>F209*E202</f>
        <v>86.72717180323929</v>
      </c>
      <c r="H209" s="54"/>
      <c r="I209" s="54"/>
      <c r="J209" s="54"/>
    </row>
    <row r="210" spans="1:10" ht="14.25" customHeight="1">
      <c r="A210" s="260" t="s">
        <v>26</v>
      </c>
      <c r="B210" s="633" t="s">
        <v>194</v>
      </c>
      <c r="C210" s="633"/>
      <c r="D210" s="260" t="s">
        <v>85</v>
      </c>
      <c r="E210" s="447"/>
      <c r="F210" s="43">
        <v>2693.4</v>
      </c>
      <c r="G210" s="240">
        <f>F210*E202</f>
        <v>8080.200000000001</v>
      </c>
      <c r="H210" s="54"/>
      <c r="I210" s="54"/>
      <c r="J210" s="54"/>
    </row>
    <row r="211" spans="1:10" ht="15" customHeight="1">
      <c r="A211" s="260" t="s">
        <v>31</v>
      </c>
      <c r="B211" s="633" t="s">
        <v>408</v>
      </c>
      <c r="C211" s="633"/>
      <c r="D211" s="260" t="s">
        <v>85</v>
      </c>
      <c r="E211" s="447"/>
      <c r="F211" s="43">
        <v>300.6</v>
      </c>
      <c r="G211" s="240">
        <f>F211*E202</f>
        <v>901.8000000000001</v>
      </c>
      <c r="H211" s="54"/>
      <c r="I211" s="54"/>
      <c r="J211" s="54"/>
    </row>
    <row r="212" spans="1:10" ht="15" customHeight="1">
      <c r="A212" s="260" t="s">
        <v>79</v>
      </c>
      <c r="B212" s="633" t="s">
        <v>196</v>
      </c>
      <c r="C212" s="633"/>
      <c r="D212" s="260" t="s">
        <v>85</v>
      </c>
      <c r="E212" s="447"/>
      <c r="F212" s="43">
        <v>1242.8</v>
      </c>
      <c r="G212" s="240">
        <f>F212*E202</f>
        <v>3728.3999999999996</v>
      </c>
      <c r="H212" s="54"/>
      <c r="I212" s="54"/>
      <c r="J212" s="54"/>
    </row>
    <row r="213" ht="14.25">
      <c r="A213" s="245"/>
    </row>
    <row r="214" ht="14.25">
      <c r="A214" s="245" t="s">
        <v>197</v>
      </c>
    </row>
    <row r="215" ht="15" thickBot="1">
      <c r="A215" s="254"/>
    </row>
    <row r="216" spans="1:7" ht="14.25" customHeight="1">
      <c r="A216" s="637" t="s">
        <v>37</v>
      </c>
      <c r="B216" s="642" t="s">
        <v>38</v>
      </c>
      <c r="C216" s="643"/>
      <c r="D216" s="255" t="s">
        <v>198</v>
      </c>
      <c r="E216" s="642" t="s">
        <v>59</v>
      </c>
      <c r="F216" s="660"/>
      <c r="G216" s="643"/>
    </row>
    <row r="217" spans="1:7" ht="15" thickBot="1">
      <c r="A217" s="638"/>
      <c r="B217" s="644"/>
      <c r="C217" s="645"/>
      <c r="D217" s="257" t="s">
        <v>199</v>
      </c>
      <c r="E217" s="644"/>
      <c r="F217" s="661"/>
      <c r="G217" s="645"/>
    </row>
    <row r="218" spans="1:11" ht="15" customHeight="1">
      <c r="A218" s="272" t="s">
        <v>9</v>
      </c>
      <c r="B218" s="634" t="s">
        <v>200</v>
      </c>
      <c r="C218" s="634"/>
      <c r="D218" s="272" t="s">
        <v>85</v>
      </c>
      <c r="E218" s="667">
        <f>G42+G61+G65+G66+G98+G121+G133+G147+G162+G170+G186+G195</f>
        <v>291893.526568877</v>
      </c>
      <c r="F218" s="667"/>
      <c r="G218" s="667"/>
      <c r="H218" s="313"/>
      <c r="K218" s="313"/>
    </row>
    <row r="219" spans="1:7" ht="15" customHeight="1">
      <c r="A219" s="260" t="s">
        <v>45</v>
      </c>
      <c r="B219" s="633" t="s">
        <v>201</v>
      </c>
      <c r="C219" s="633"/>
      <c r="D219" s="260" t="s">
        <v>85</v>
      </c>
      <c r="E219" s="662">
        <f>SUM(G202:G212)</f>
        <v>19239.568625567015</v>
      </c>
      <c r="F219" s="662"/>
      <c r="G219" s="662"/>
    </row>
    <row r="220" spans="1:7" ht="14.25">
      <c r="A220" s="260" t="s">
        <v>14</v>
      </c>
      <c r="B220" s="633" t="s">
        <v>202</v>
      </c>
      <c r="C220" s="633"/>
      <c r="D220" s="260" t="s">
        <v>85</v>
      </c>
      <c r="E220" s="662">
        <f>SUM(E218:G219)</f>
        <v>311133.095194444</v>
      </c>
      <c r="F220" s="662"/>
      <c r="G220" s="662"/>
    </row>
    <row r="221" spans="1:7" ht="27.75" customHeight="1">
      <c r="A221" s="260">
        <v>4</v>
      </c>
      <c r="B221" s="633" t="s">
        <v>203</v>
      </c>
      <c r="C221" s="633"/>
      <c r="D221" s="260" t="s">
        <v>85</v>
      </c>
      <c r="E221" s="659"/>
      <c r="F221" s="659"/>
      <c r="G221" s="659"/>
    </row>
    <row r="222" spans="1:7" ht="15" customHeight="1">
      <c r="A222" s="260" t="s">
        <v>19</v>
      </c>
      <c r="B222" s="633" t="s">
        <v>204</v>
      </c>
      <c r="C222" s="633"/>
      <c r="D222" s="260" t="s">
        <v>85</v>
      </c>
      <c r="E222" s="659">
        <f>E220-E221</f>
        <v>311133.095194444</v>
      </c>
      <c r="F222" s="659"/>
      <c r="G222" s="659"/>
    </row>
    <row r="223" spans="1:9" ht="14.25">
      <c r="A223" s="278"/>
      <c r="I223" s="282"/>
    </row>
    <row r="224" ht="14.25">
      <c r="A224" s="278"/>
    </row>
    <row r="233" ht="14.25">
      <c r="B233" s="314" t="s">
        <v>63</v>
      </c>
    </row>
    <row r="235" ht="14.25">
      <c r="B235" s="314" t="s">
        <v>206</v>
      </c>
    </row>
  </sheetData>
  <sheetProtection/>
  <mergeCells count="167">
    <mergeCell ref="B195:C195"/>
    <mergeCell ref="B98:C98"/>
    <mergeCell ref="B121:C121"/>
    <mergeCell ref="B133:C133"/>
    <mergeCell ref="B147:C147"/>
    <mergeCell ref="B146:C146"/>
    <mergeCell ref="B137:C137"/>
    <mergeCell ref="B138:C138"/>
    <mergeCell ref="B139:C139"/>
    <mergeCell ref="B140:C140"/>
    <mergeCell ref="B116:C116"/>
    <mergeCell ref="B117:C117"/>
    <mergeCell ref="B118:C118"/>
    <mergeCell ref="B141:C141"/>
    <mergeCell ref="B119:C119"/>
    <mergeCell ref="B120:C120"/>
    <mergeCell ref="A31:A32"/>
    <mergeCell ref="B42:C42"/>
    <mergeCell ref="B65:C65"/>
    <mergeCell ref="B66:C66"/>
    <mergeCell ref="A38:A41"/>
    <mergeCell ref="B34:C34"/>
    <mergeCell ref="B35:C35"/>
    <mergeCell ref="B33:C33"/>
    <mergeCell ref="B39:C39"/>
    <mergeCell ref="B40:C40"/>
    <mergeCell ref="B115:C115"/>
    <mergeCell ref="B36:C36"/>
    <mergeCell ref="B37:C37"/>
    <mergeCell ref="B38:C38"/>
    <mergeCell ref="B88:C88"/>
    <mergeCell ref="B86:C86"/>
    <mergeCell ref="B87:C87"/>
    <mergeCell ref="A89:C89"/>
    <mergeCell ref="A90:C90"/>
    <mergeCell ref="B103:C103"/>
    <mergeCell ref="A216:A217"/>
    <mergeCell ref="B127:C127"/>
    <mergeCell ref="B128:C128"/>
    <mergeCell ref="B129:C129"/>
    <mergeCell ref="B130:C130"/>
    <mergeCell ref="B131:C131"/>
    <mergeCell ref="B132:C132"/>
    <mergeCell ref="B192:C192"/>
    <mergeCell ref="B193:C193"/>
    <mergeCell ref="A166:A167"/>
    <mergeCell ref="B168:C168"/>
    <mergeCell ref="B175:C175"/>
    <mergeCell ref="D138:G138"/>
    <mergeCell ref="D139:G139"/>
    <mergeCell ref="B153:C153"/>
    <mergeCell ref="B162:C162"/>
    <mergeCell ref="B143:C143"/>
    <mergeCell ref="B144:C144"/>
    <mergeCell ref="B145:C145"/>
    <mergeCell ref="B142:C142"/>
    <mergeCell ref="B91:C91"/>
    <mergeCell ref="B92:C92"/>
    <mergeCell ref="B154:C154"/>
    <mergeCell ref="B107:C107"/>
    <mergeCell ref="B104:C104"/>
    <mergeCell ref="B105:C105"/>
    <mergeCell ref="B110:C110"/>
    <mergeCell ref="B111:C111"/>
    <mergeCell ref="B112:C112"/>
    <mergeCell ref="B113:C113"/>
    <mergeCell ref="B114:C114"/>
    <mergeCell ref="B126:C126"/>
    <mergeCell ref="B83:C83"/>
    <mergeCell ref="B106:C106"/>
    <mergeCell ref="B93:C93"/>
    <mergeCell ref="B108:C108"/>
    <mergeCell ref="B109:C109"/>
    <mergeCell ref="B102:C102"/>
    <mergeCell ref="B96:C96"/>
    <mergeCell ref="B97:C97"/>
    <mergeCell ref="B72:C72"/>
    <mergeCell ref="B73:C73"/>
    <mergeCell ref="A84:C84"/>
    <mergeCell ref="A85:C85"/>
    <mergeCell ref="B74:C74"/>
    <mergeCell ref="B75:C75"/>
    <mergeCell ref="B76:C76"/>
    <mergeCell ref="B77:C77"/>
    <mergeCell ref="B81:C81"/>
    <mergeCell ref="G47:G48"/>
    <mergeCell ref="B82:C82"/>
    <mergeCell ref="A70:C70"/>
    <mergeCell ref="A47:A48"/>
    <mergeCell ref="F47:F48"/>
    <mergeCell ref="A71:C71"/>
    <mergeCell ref="E47:E48"/>
    <mergeCell ref="B78:C78"/>
    <mergeCell ref="B79:C79"/>
    <mergeCell ref="B80:C80"/>
    <mergeCell ref="A95:C95"/>
    <mergeCell ref="B151:C151"/>
    <mergeCell ref="B180:C180"/>
    <mergeCell ref="B160:C160"/>
    <mergeCell ref="B159:C159"/>
    <mergeCell ref="B155:C155"/>
    <mergeCell ref="B152:C152"/>
    <mergeCell ref="B158:C158"/>
    <mergeCell ref="B157:C157"/>
    <mergeCell ref="B156:C156"/>
    <mergeCell ref="B177:C177"/>
    <mergeCell ref="B186:C186"/>
    <mergeCell ref="B161:C161"/>
    <mergeCell ref="B174:C174"/>
    <mergeCell ref="B176:C176"/>
    <mergeCell ref="B183:C183"/>
    <mergeCell ref="B184:C184"/>
    <mergeCell ref="B185:C185"/>
    <mergeCell ref="B181:C181"/>
    <mergeCell ref="B166:C167"/>
    <mergeCell ref="B202:C202"/>
    <mergeCell ref="B178:C178"/>
    <mergeCell ref="B169:C169"/>
    <mergeCell ref="B170:C170"/>
    <mergeCell ref="B201:C201"/>
    <mergeCell ref="B194:C194"/>
    <mergeCell ref="B190:C190"/>
    <mergeCell ref="B182:C182"/>
    <mergeCell ref="B179:C179"/>
    <mergeCell ref="B191:C191"/>
    <mergeCell ref="B212:C212"/>
    <mergeCell ref="E216:G217"/>
    <mergeCell ref="B221:C221"/>
    <mergeCell ref="B216:C217"/>
    <mergeCell ref="B219:C219"/>
    <mergeCell ref="B220:C220"/>
    <mergeCell ref="B209:C209"/>
    <mergeCell ref="E222:G222"/>
    <mergeCell ref="B222:C222"/>
    <mergeCell ref="E218:G218"/>
    <mergeCell ref="E219:G219"/>
    <mergeCell ref="E220:G220"/>
    <mergeCell ref="B218:C218"/>
    <mergeCell ref="E221:G221"/>
    <mergeCell ref="B210:C210"/>
    <mergeCell ref="B211:C211"/>
    <mergeCell ref="B47:C47"/>
    <mergeCell ref="B69:C69"/>
    <mergeCell ref="B64:C64"/>
    <mergeCell ref="D47:D48"/>
    <mergeCell ref="B207:C207"/>
    <mergeCell ref="B208:C208"/>
    <mergeCell ref="B203:C203"/>
    <mergeCell ref="B204:C204"/>
    <mergeCell ref="B205:C205"/>
    <mergeCell ref="B206:C206"/>
    <mergeCell ref="D18:E18"/>
    <mergeCell ref="D20:E20"/>
    <mergeCell ref="D14:E14"/>
    <mergeCell ref="B31:C32"/>
    <mergeCell ref="B26:G26"/>
    <mergeCell ref="C24:G24"/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88">
      <selection activeCell="D219" sqref="D219"/>
    </sheetView>
  </sheetViews>
  <sheetFormatPr defaultColWidth="9.00390625" defaultRowHeight="12.75"/>
  <cols>
    <col min="1" max="1" width="5.625" style="119" customWidth="1"/>
    <col min="2" max="2" width="16.00390625" style="119" customWidth="1"/>
    <col min="3" max="3" width="31.875" style="119" customWidth="1"/>
    <col min="4" max="4" width="9.625" style="119" customWidth="1"/>
    <col min="5" max="5" width="13.625" style="119" customWidth="1"/>
    <col min="6" max="7" width="11.875" style="119" customWidth="1"/>
    <col min="8" max="16384" width="9.125" style="119" customWidth="1"/>
  </cols>
  <sheetData>
    <row r="1" spans="1:4" ht="18">
      <c r="A1" s="118" t="s">
        <v>0</v>
      </c>
      <c r="D1" s="118" t="s">
        <v>1</v>
      </c>
    </row>
    <row r="2" spans="1:4" ht="18">
      <c r="A2" s="118" t="s">
        <v>0</v>
      </c>
      <c r="D2" s="118" t="s">
        <v>1</v>
      </c>
    </row>
    <row r="3" spans="1:4" ht="18">
      <c r="A3" s="118" t="s">
        <v>2</v>
      </c>
      <c r="D3" s="120" t="s">
        <v>3</v>
      </c>
    </row>
    <row r="4" ht="18">
      <c r="D4" s="120" t="s">
        <v>4</v>
      </c>
    </row>
    <row r="7" spans="1:7" ht="18">
      <c r="A7" s="534" t="s">
        <v>5</v>
      </c>
      <c r="B7" s="534"/>
      <c r="C7" s="534"/>
      <c r="D7" s="534"/>
      <c r="E7" s="534"/>
      <c r="F7" s="534"/>
      <c r="G7" s="534"/>
    </row>
    <row r="8" spans="1:7" ht="18">
      <c r="A8" s="535" t="s">
        <v>6</v>
      </c>
      <c r="B8" s="535"/>
      <c r="C8" s="535"/>
      <c r="D8" s="535"/>
      <c r="E8" s="535"/>
      <c r="F8" s="535"/>
      <c r="G8" s="535"/>
    </row>
    <row r="9" spans="1:7" ht="18">
      <c r="A9" s="534" t="s">
        <v>7</v>
      </c>
      <c r="B9" s="534"/>
      <c r="C9" s="534"/>
      <c r="D9" s="534"/>
      <c r="E9" s="534"/>
      <c r="F9" s="534"/>
      <c r="G9" s="534"/>
    </row>
    <row r="14" ht="14.25">
      <c r="A14" s="121" t="s">
        <v>8</v>
      </c>
    </row>
    <row r="15" ht="13.5" thickBot="1"/>
    <row r="16" spans="1:7" ht="42.75" customHeight="1" thickBot="1">
      <c r="A16" s="122" t="s">
        <v>9</v>
      </c>
      <c r="B16" s="123" t="s">
        <v>10</v>
      </c>
      <c r="C16" s="123" t="s">
        <v>217</v>
      </c>
      <c r="D16" s="519" t="s">
        <v>12</v>
      </c>
      <c r="E16" s="520"/>
      <c r="F16" s="519" t="s">
        <v>13</v>
      </c>
      <c r="G16" s="520"/>
    </row>
    <row r="17" ht="13.5" thickBot="1">
      <c r="A17" s="124"/>
    </row>
    <row r="18" spans="1:7" ht="43.5" customHeight="1" thickBot="1">
      <c r="A18" s="122" t="s">
        <v>14</v>
      </c>
      <c r="B18" s="123" t="s">
        <v>15</v>
      </c>
      <c r="C18" s="123" t="s">
        <v>214</v>
      </c>
      <c r="D18" s="519" t="s">
        <v>17</v>
      </c>
      <c r="E18" s="520"/>
      <c r="F18" s="519" t="s">
        <v>218</v>
      </c>
      <c r="G18" s="520"/>
    </row>
    <row r="19" ht="13.5" thickBot="1">
      <c r="A19" s="124"/>
    </row>
    <row r="20" spans="1:7" ht="43.5" customHeight="1" thickBot="1">
      <c r="A20" s="122" t="s">
        <v>19</v>
      </c>
      <c r="B20" s="123" t="s">
        <v>20</v>
      </c>
      <c r="C20" s="57">
        <v>18</v>
      </c>
      <c r="D20" s="519" t="s">
        <v>21</v>
      </c>
      <c r="E20" s="520"/>
      <c r="F20" s="519" t="s">
        <v>609</v>
      </c>
      <c r="G20" s="520"/>
    </row>
    <row r="21" ht="13.5" thickBot="1">
      <c r="A21" s="124"/>
    </row>
    <row r="22" spans="1:7" ht="43.5" customHeight="1" thickBot="1">
      <c r="A22" s="122" t="s">
        <v>22</v>
      </c>
      <c r="B22" s="123" t="s">
        <v>23</v>
      </c>
      <c r="C22" s="123" t="s">
        <v>220</v>
      </c>
      <c r="D22" s="519" t="s">
        <v>25</v>
      </c>
      <c r="E22" s="520"/>
      <c r="F22" s="519"/>
      <c r="G22" s="520"/>
    </row>
    <row r="23" ht="13.5" thickBot="1">
      <c r="A23" s="124"/>
    </row>
    <row r="24" spans="1:7" ht="29.25" customHeight="1" thickBot="1">
      <c r="A24" s="122" t="s">
        <v>26</v>
      </c>
      <c r="B24" s="123" t="s">
        <v>27</v>
      </c>
      <c r="C24" s="125" t="s">
        <v>28</v>
      </c>
      <c r="D24" s="536" t="s">
        <v>29</v>
      </c>
      <c r="E24" s="537"/>
      <c r="F24" s="527" t="s">
        <v>30</v>
      </c>
      <c r="G24" s="528"/>
    </row>
    <row r="25" ht="13.5" thickBot="1">
      <c r="A25" s="124"/>
    </row>
    <row r="26" spans="1:7" ht="15" thickBot="1">
      <c r="A26" s="126" t="s">
        <v>31</v>
      </c>
      <c r="B26" s="127" t="s">
        <v>32</v>
      </c>
      <c r="C26" s="529" t="s">
        <v>221</v>
      </c>
      <c r="D26" s="530"/>
      <c r="E26" s="530"/>
      <c r="F26" s="530"/>
      <c r="G26" s="531"/>
    </row>
    <row r="27" spans="1:7" ht="15" thickBot="1">
      <c r="A27" s="128"/>
      <c r="B27" s="529" t="s">
        <v>222</v>
      </c>
      <c r="C27" s="530"/>
      <c r="D27" s="530"/>
      <c r="E27" s="530"/>
      <c r="F27" s="530"/>
      <c r="G27" s="531"/>
    </row>
    <row r="28" spans="1:7" ht="15" thickBot="1">
      <c r="A28" s="128"/>
      <c r="B28" s="529"/>
      <c r="C28" s="530"/>
      <c r="D28" s="530"/>
      <c r="E28" s="530"/>
      <c r="F28" s="530"/>
      <c r="G28" s="531"/>
    </row>
    <row r="30" ht="14.25">
      <c r="A30" s="121" t="s">
        <v>35</v>
      </c>
    </row>
    <row r="31" ht="14.25">
      <c r="A31" s="121"/>
    </row>
    <row r="32" ht="15" thickBot="1">
      <c r="A32" s="129" t="s">
        <v>36</v>
      </c>
    </row>
    <row r="33" spans="1:7" ht="28.5">
      <c r="A33" s="497" t="s">
        <v>37</v>
      </c>
      <c r="B33" s="503" t="s">
        <v>38</v>
      </c>
      <c r="C33" s="504"/>
      <c r="D33" s="130" t="s">
        <v>39</v>
      </c>
      <c r="E33" s="131" t="s">
        <v>207</v>
      </c>
      <c r="F33" s="131" t="s">
        <v>40</v>
      </c>
      <c r="G33" s="131" t="s">
        <v>41</v>
      </c>
    </row>
    <row r="34" spans="1:7" ht="18.75" customHeight="1" thickBot="1">
      <c r="A34" s="498"/>
      <c r="B34" s="532"/>
      <c r="C34" s="533"/>
      <c r="D34" s="132"/>
      <c r="E34" s="133"/>
      <c r="F34" s="133"/>
      <c r="G34" s="133"/>
    </row>
    <row r="35" spans="1:7" ht="14.25">
      <c r="A35" s="134">
        <v>1</v>
      </c>
      <c r="B35" s="521">
        <v>2</v>
      </c>
      <c r="C35" s="522"/>
      <c r="D35" s="135">
        <v>3</v>
      </c>
      <c r="E35" s="136">
        <v>4</v>
      </c>
      <c r="F35" s="136">
        <v>5</v>
      </c>
      <c r="G35" s="136">
        <v>6</v>
      </c>
    </row>
    <row r="36" spans="1:7" ht="15" customHeight="1">
      <c r="A36" s="137" t="s">
        <v>9</v>
      </c>
      <c r="B36" s="491" t="s">
        <v>223</v>
      </c>
      <c r="C36" s="491"/>
      <c r="D36" s="137" t="s">
        <v>43</v>
      </c>
      <c r="E36" s="138" t="s">
        <v>47</v>
      </c>
      <c r="F36" s="139">
        <f>(F50+F57)/2/16</f>
        <v>2.593703148425787</v>
      </c>
      <c r="G36" s="140">
        <f>8*F36*2</f>
        <v>41.49925037481259</v>
      </c>
    </row>
    <row r="37" spans="1:7" ht="15" customHeight="1">
      <c r="A37" s="137" t="s">
        <v>45</v>
      </c>
      <c r="B37" s="491" t="s">
        <v>224</v>
      </c>
      <c r="C37" s="491"/>
      <c r="D37" s="137" t="s">
        <v>43</v>
      </c>
      <c r="E37" s="138" t="s">
        <v>225</v>
      </c>
      <c r="F37" s="139">
        <f>(F50+F57)/2/16</f>
        <v>2.593703148425787</v>
      </c>
      <c r="G37" s="140">
        <f>16*F37*2</f>
        <v>82.99850074962518</v>
      </c>
    </row>
    <row r="38" spans="1:7" ht="15" customHeight="1">
      <c r="A38" s="137" t="s">
        <v>14</v>
      </c>
      <c r="B38" s="491" t="s">
        <v>226</v>
      </c>
      <c r="C38" s="491"/>
      <c r="D38" s="137" t="s">
        <v>43</v>
      </c>
      <c r="E38" s="138" t="s">
        <v>44</v>
      </c>
      <c r="F38" s="139">
        <f>(F50+F57)/2/16</f>
        <v>2.593703148425787</v>
      </c>
      <c r="G38" s="140">
        <f>4*F38*2</f>
        <v>20.749625187406295</v>
      </c>
    </row>
    <row r="39" spans="1:7" ht="15" customHeight="1">
      <c r="A39" s="137" t="s">
        <v>49</v>
      </c>
      <c r="B39" s="491" t="s">
        <v>227</v>
      </c>
      <c r="C39" s="491"/>
      <c r="D39" s="137" t="s">
        <v>43</v>
      </c>
      <c r="E39" s="138" t="s">
        <v>228</v>
      </c>
      <c r="F39" s="139">
        <f>F50/16</f>
        <v>3.2683658170914542</v>
      </c>
      <c r="G39" s="140">
        <f>E39*F39</f>
        <v>3.2683658170914542</v>
      </c>
    </row>
    <row r="40" spans="1:7" ht="15" customHeight="1">
      <c r="A40" s="499" t="s">
        <v>19</v>
      </c>
      <c r="B40" s="500" t="s">
        <v>51</v>
      </c>
      <c r="C40" s="501"/>
      <c r="D40" s="141"/>
      <c r="E40" s="142"/>
      <c r="F40" s="143"/>
      <c r="G40" s="137">
        <f>E40*F40</f>
        <v>0</v>
      </c>
    </row>
    <row r="41" spans="1:7" ht="14.25" customHeight="1">
      <c r="A41" s="499"/>
      <c r="B41" s="523" t="s">
        <v>52</v>
      </c>
      <c r="C41" s="524"/>
      <c r="D41" s="141"/>
      <c r="E41" s="144"/>
      <c r="F41" s="143"/>
      <c r="G41" s="137">
        <f>E41*F41</f>
        <v>0</v>
      </c>
    </row>
    <row r="42" spans="1:7" ht="15.75" customHeight="1">
      <c r="A42" s="499"/>
      <c r="B42" s="523" t="s">
        <v>53</v>
      </c>
      <c r="C42" s="524"/>
      <c r="D42" s="141"/>
      <c r="E42" s="144"/>
      <c r="F42" s="143"/>
      <c r="G42" s="137">
        <f>E42*F42</f>
        <v>0</v>
      </c>
    </row>
    <row r="43" spans="1:7" ht="14.25">
      <c r="A43" s="499"/>
      <c r="B43" s="525" t="s">
        <v>53</v>
      </c>
      <c r="C43" s="526"/>
      <c r="D43" s="141"/>
      <c r="E43" s="145"/>
      <c r="F43" s="143"/>
      <c r="G43" s="137">
        <f>E43*F43</f>
        <v>0</v>
      </c>
    </row>
    <row r="44" spans="1:7" ht="14.25">
      <c r="A44" s="137" t="s">
        <v>54</v>
      </c>
      <c r="B44" s="491" t="s">
        <v>55</v>
      </c>
      <c r="C44" s="491"/>
      <c r="D44" s="137"/>
      <c r="E44" s="137"/>
      <c r="F44" s="137"/>
      <c r="G44" s="140">
        <f>SUM(G36:G43)</f>
        <v>148.5157421289355</v>
      </c>
    </row>
    <row r="45" ht="14.25">
      <c r="A45" s="129"/>
    </row>
    <row r="46" ht="15" thickBot="1">
      <c r="A46" s="129" t="s">
        <v>56</v>
      </c>
    </row>
    <row r="47" spans="1:7" ht="27.75" customHeight="1" thickBot="1">
      <c r="A47" s="497" t="s">
        <v>37</v>
      </c>
      <c r="B47" s="517" t="s">
        <v>57</v>
      </c>
      <c r="C47" s="518"/>
      <c r="D47" s="503" t="s">
        <v>39</v>
      </c>
      <c r="E47" s="503" t="s">
        <v>207</v>
      </c>
      <c r="F47" s="497" t="s">
        <v>58</v>
      </c>
      <c r="G47" s="504" t="s">
        <v>59</v>
      </c>
    </row>
    <row r="48" spans="1:7" ht="15" customHeight="1">
      <c r="A48" s="502"/>
      <c r="B48" s="136" t="s">
        <v>60</v>
      </c>
      <c r="C48" s="146" t="s">
        <v>61</v>
      </c>
      <c r="D48" s="505"/>
      <c r="E48" s="505"/>
      <c r="F48" s="502"/>
      <c r="G48" s="506"/>
    </row>
    <row r="49" spans="1:7" ht="14.25" customHeight="1">
      <c r="A49" s="137">
        <v>1</v>
      </c>
      <c r="B49" s="147" t="s">
        <v>62</v>
      </c>
      <c r="C49" s="147"/>
      <c r="D49" s="137" t="s">
        <v>43</v>
      </c>
      <c r="E49" s="137"/>
      <c r="F49" s="137"/>
      <c r="G49" s="137"/>
    </row>
    <row r="50" spans="1:7" ht="15" customHeight="1">
      <c r="A50" s="137">
        <v>2</v>
      </c>
      <c r="B50" s="147" t="s">
        <v>63</v>
      </c>
      <c r="C50" s="147" t="s">
        <v>64</v>
      </c>
      <c r="D50" s="137" t="s">
        <v>43</v>
      </c>
      <c r="E50" s="137">
        <v>16</v>
      </c>
      <c r="F50" s="139">
        <f>8720*12/2001</f>
        <v>52.29385307346327</v>
      </c>
      <c r="G50" s="140">
        <f aca="true" t="shared" si="0" ref="G50:G58">E50*F50</f>
        <v>836.7016491754123</v>
      </c>
    </row>
    <row r="51" spans="1:7" ht="15" customHeight="1">
      <c r="A51" s="137">
        <v>3</v>
      </c>
      <c r="B51" s="147" t="s">
        <v>65</v>
      </c>
      <c r="C51" s="147" t="s">
        <v>64</v>
      </c>
      <c r="D51" s="137" t="s">
        <v>43</v>
      </c>
      <c r="E51" s="137">
        <v>8</v>
      </c>
      <c r="F51" s="139">
        <f>8720*12/2001</f>
        <v>52.29385307346327</v>
      </c>
      <c r="G51" s="140">
        <f t="shared" si="0"/>
        <v>418.35082458770614</v>
      </c>
    </row>
    <row r="52" spans="1:7" ht="15" customHeight="1">
      <c r="A52" s="137">
        <v>4</v>
      </c>
      <c r="B52" s="147" t="s">
        <v>229</v>
      </c>
      <c r="C52" s="147" t="s">
        <v>414</v>
      </c>
      <c r="D52" s="137" t="s">
        <v>43</v>
      </c>
      <c r="E52" s="137">
        <v>8</v>
      </c>
      <c r="F52" s="441">
        <f>5100*12/2001</f>
        <v>30.584707646176913</v>
      </c>
      <c r="G52" s="140">
        <f t="shared" si="0"/>
        <v>244.6776611694153</v>
      </c>
    </row>
    <row r="53" spans="1:7" ht="15" customHeight="1">
      <c r="A53" s="137">
        <v>5</v>
      </c>
      <c r="B53" s="147" t="s">
        <v>67</v>
      </c>
      <c r="C53" s="147" t="s">
        <v>230</v>
      </c>
      <c r="D53" s="137" t="s">
        <v>43</v>
      </c>
      <c r="E53" s="138" t="s">
        <v>225</v>
      </c>
      <c r="F53" s="139">
        <f>(5610+5100)*12/4002</f>
        <v>32.11394302848576</v>
      </c>
      <c r="G53" s="140">
        <f>16*F53*2</f>
        <v>1027.6461769115442</v>
      </c>
    </row>
    <row r="54" spans="1:7" ht="15" customHeight="1">
      <c r="A54" s="137">
        <v>6</v>
      </c>
      <c r="B54" s="147" t="s">
        <v>70</v>
      </c>
      <c r="C54" s="147" t="s">
        <v>71</v>
      </c>
      <c r="D54" s="137" t="s">
        <v>43</v>
      </c>
      <c r="E54" s="137">
        <v>16</v>
      </c>
      <c r="F54" s="139">
        <f>7260*12/2001</f>
        <v>43.53823088455772</v>
      </c>
      <c r="G54" s="140">
        <f t="shared" si="0"/>
        <v>696.6116941529235</v>
      </c>
    </row>
    <row r="55" spans="1:9" ht="15" customHeight="1">
      <c r="A55" s="137">
        <v>7</v>
      </c>
      <c r="B55" s="147" t="s">
        <v>73</v>
      </c>
      <c r="C55" s="147" t="s">
        <v>395</v>
      </c>
      <c r="D55" s="137" t="s">
        <v>43</v>
      </c>
      <c r="E55" s="138" t="s">
        <v>261</v>
      </c>
      <c r="F55" s="139">
        <f>3850*12/2001</f>
        <v>23.088455772113942</v>
      </c>
      <c r="G55" s="140">
        <f t="shared" si="0"/>
        <v>92.35382308845577</v>
      </c>
      <c r="I55" s="440" t="s">
        <v>538</v>
      </c>
    </row>
    <row r="56" spans="1:7" ht="15" customHeight="1">
      <c r="A56" s="137">
        <v>8</v>
      </c>
      <c r="B56" s="147" t="s">
        <v>75</v>
      </c>
      <c r="C56" s="147" t="s">
        <v>76</v>
      </c>
      <c r="D56" s="137" t="s">
        <v>43</v>
      </c>
      <c r="E56" s="137">
        <v>4</v>
      </c>
      <c r="F56" s="139">
        <f>3300*12/2001</f>
        <v>19.79010494752624</v>
      </c>
      <c r="G56" s="140">
        <f t="shared" si="0"/>
        <v>79.16041979010495</v>
      </c>
    </row>
    <row r="57" spans="1:7" ht="15" customHeight="1">
      <c r="A57" s="137">
        <v>9</v>
      </c>
      <c r="B57" s="147" t="s">
        <v>77</v>
      </c>
      <c r="C57" s="147" t="s">
        <v>78</v>
      </c>
      <c r="D57" s="137" t="s">
        <v>43</v>
      </c>
      <c r="E57" s="137">
        <v>8</v>
      </c>
      <c r="F57" s="139">
        <f>5120*12/2001</f>
        <v>30.70464767616192</v>
      </c>
      <c r="G57" s="140">
        <f t="shared" si="0"/>
        <v>245.63718140929535</v>
      </c>
    </row>
    <row r="58" spans="1:7" ht="15" customHeight="1">
      <c r="A58" s="137">
        <v>10</v>
      </c>
      <c r="B58" s="147" t="s">
        <v>80</v>
      </c>
      <c r="C58" s="147" t="s">
        <v>81</v>
      </c>
      <c r="D58" s="137" t="s">
        <v>43</v>
      </c>
      <c r="E58" s="137">
        <v>8</v>
      </c>
      <c r="F58" s="139">
        <f>3160*12/2001</f>
        <v>18.950524737631184</v>
      </c>
      <c r="G58" s="140">
        <f t="shared" si="0"/>
        <v>151.60419790104947</v>
      </c>
    </row>
    <row r="59" spans="1:7" ht="15" customHeight="1">
      <c r="A59" s="137"/>
      <c r="B59" s="147" t="s">
        <v>82</v>
      </c>
      <c r="C59" s="147"/>
      <c r="D59" s="137"/>
      <c r="E59" s="137"/>
      <c r="F59" s="137"/>
      <c r="G59" s="140">
        <f>SUM(G49:G58)</f>
        <v>3792.7436281859073</v>
      </c>
    </row>
    <row r="60" ht="15" customHeight="1">
      <c r="A60" s="148"/>
    </row>
    <row r="61" ht="15" thickBot="1">
      <c r="A61" s="129" t="s">
        <v>83</v>
      </c>
    </row>
    <row r="62" spans="1:7" ht="28.5" customHeight="1">
      <c r="A62" s="149" t="s">
        <v>37</v>
      </c>
      <c r="B62" s="503" t="s">
        <v>38</v>
      </c>
      <c r="C62" s="504"/>
      <c r="D62" s="131" t="s">
        <v>39</v>
      </c>
      <c r="E62" s="131" t="s">
        <v>207</v>
      </c>
      <c r="F62" s="131" t="s">
        <v>58</v>
      </c>
      <c r="G62" s="131" t="s">
        <v>59</v>
      </c>
    </row>
    <row r="63" spans="1:7" ht="15" customHeight="1">
      <c r="A63" s="137" t="s">
        <v>9</v>
      </c>
      <c r="B63" s="491" t="s">
        <v>84</v>
      </c>
      <c r="C63" s="491"/>
      <c r="D63" s="137" t="s">
        <v>85</v>
      </c>
      <c r="E63" s="150"/>
      <c r="F63" s="150"/>
      <c r="G63" s="140">
        <f>(G44+G59)*0.23</f>
        <v>906.4896551724139</v>
      </c>
    </row>
    <row r="64" spans="1:7" ht="15" customHeight="1">
      <c r="A64" s="137" t="s">
        <v>45</v>
      </c>
      <c r="B64" s="491" t="s">
        <v>539</v>
      </c>
      <c r="C64" s="491"/>
      <c r="D64" s="137" t="s">
        <v>85</v>
      </c>
      <c r="E64" s="150"/>
      <c r="F64" s="150"/>
      <c r="G64" s="140">
        <f>(G44+G59)*0.04</f>
        <v>157.65037481259372</v>
      </c>
    </row>
    <row r="65" ht="18" customHeight="1">
      <c r="A65" s="148"/>
    </row>
    <row r="66" ht="15" thickBot="1">
      <c r="A66" s="129" t="s">
        <v>87</v>
      </c>
    </row>
    <row r="67" spans="1:7" ht="27" customHeight="1" thickBot="1">
      <c r="A67" s="131" t="s">
        <v>37</v>
      </c>
      <c r="B67" s="503" t="s">
        <v>38</v>
      </c>
      <c r="C67" s="504"/>
      <c r="D67" s="130" t="s">
        <v>39</v>
      </c>
      <c r="E67" s="149" t="s">
        <v>207</v>
      </c>
      <c r="F67" s="131" t="s">
        <v>58</v>
      </c>
      <c r="G67" s="131" t="s">
        <v>59</v>
      </c>
    </row>
    <row r="68" spans="1:7" ht="15" customHeight="1">
      <c r="A68" s="509"/>
      <c r="B68" s="509"/>
      <c r="C68" s="509"/>
      <c r="D68" s="151"/>
      <c r="E68" s="151"/>
      <c r="F68" s="152"/>
      <c r="G68" s="152"/>
    </row>
    <row r="69" spans="1:7" ht="14.25">
      <c r="A69" s="508" t="s">
        <v>88</v>
      </c>
      <c r="B69" s="508"/>
      <c r="C69" s="508"/>
      <c r="D69" s="141"/>
      <c r="E69" s="141"/>
      <c r="F69" s="143"/>
      <c r="G69" s="143"/>
    </row>
    <row r="70" spans="1:7" ht="15" customHeight="1">
      <c r="A70" s="153" t="s">
        <v>9</v>
      </c>
      <c r="B70" s="491" t="s">
        <v>530</v>
      </c>
      <c r="C70" s="491"/>
      <c r="D70" s="137"/>
      <c r="E70" s="137"/>
      <c r="F70" s="137"/>
      <c r="G70" s="137"/>
    </row>
    <row r="71" spans="1:7" ht="15" customHeight="1">
      <c r="A71" s="153" t="s">
        <v>45</v>
      </c>
      <c r="B71" s="491" t="s">
        <v>90</v>
      </c>
      <c r="C71" s="491"/>
      <c r="D71" s="137" t="s">
        <v>91</v>
      </c>
      <c r="E71" s="137"/>
      <c r="F71" s="137"/>
      <c r="G71" s="137">
        <f>E71*F71</f>
        <v>0</v>
      </c>
    </row>
    <row r="72" spans="1:7" ht="15" customHeight="1">
      <c r="A72" s="153" t="s">
        <v>14</v>
      </c>
      <c r="B72" s="491" t="s">
        <v>92</v>
      </c>
      <c r="C72" s="491"/>
      <c r="D72" s="137" t="s">
        <v>91</v>
      </c>
      <c r="E72" s="137"/>
      <c r="F72" s="137"/>
      <c r="G72" s="137">
        <f>E72*F72</f>
        <v>0</v>
      </c>
    </row>
    <row r="73" spans="1:7" ht="15" customHeight="1">
      <c r="A73" s="153" t="s">
        <v>49</v>
      </c>
      <c r="B73" s="491" t="s">
        <v>93</v>
      </c>
      <c r="C73" s="491"/>
      <c r="D73" s="137" t="s">
        <v>91</v>
      </c>
      <c r="E73" s="137"/>
      <c r="F73" s="137"/>
      <c r="G73" s="137">
        <f>E73*F73</f>
        <v>0</v>
      </c>
    </row>
    <row r="74" spans="1:7" ht="15" customHeight="1">
      <c r="A74" s="153" t="s">
        <v>19</v>
      </c>
      <c r="B74" s="491" t="s">
        <v>94</v>
      </c>
      <c r="C74" s="491"/>
      <c r="D74" s="137"/>
      <c r="E74" s="137"/>
      <c r="F74" s="137"/>
      <c r="G74" s="137"/>
    </row>
    <row r="75" spans="1:7" ht="15" customHeight="1">
      <c r="A75" s="153"/>
      <c r="B75" s="492" t="s">
        <v>95</v>
      </c>
      <c r="C75" s="492"/>
      <c r="D75" s="154" t="s">
        <v>96</v>
      </c>
      <c r="E75" s="154"/>
      <c r="F75" s="154"/>
      <c r="G75" s="154"/>
    </row>
    <row r="76" spans="1:7" ht="15" customHeight="1">
      <c r="A76" s="153"/>
      <c r="B76" s="492" t="s">
        <v>97</v>
      </c>
      <c r="C76" s="492"/>
      <c r="D76" s="154" t="s">
        <v>91</v>
      </c>
      <c r="E76" s="154"/>
      <c r="F76" s="154"/>
      <c r="G76" s="154"/>
    </row>
    <row r="77" spans="1:7" ht="15" customHeight="1">
      <c r="A77" s="153"/>
      <c r="B77" s="492" t="s">
        <v>98</v>
      </c>
      <c r="C77" s="492"/>
      <c r="D77" s="154" t="s">
        <v>85</v>
      </c>
      <c r="E77" s="154"/>
      <c r="F77" s="154"/>
      <c r="G77" s="154">
        <f>E75*E76*F76</f>
        <v>0</v>
      </c>
    </row>
    <row r="78" spans="1:7" ht="15" customHeight="1">
      <c r="A78" s="153" t="s">
        <v>54</v>
      </c>
      <c r="B78" s="491" t="s">
        <v>99</v>
      </c>
      <c r="C78" s="491"/>
      <c r="D78" s="154"/>
      <c r="E78" s="154"/>
      <c r="F78" s="154"/>
      <c r="G78" s="154"/>
    </row>
    <row r="79" spans="1:7" ht="15" customHeight="1">
      <c r="A79" s="153"/>
      <c r="B79" s="492" t="s">
        <v>97</v>
      </c>
      <c r="C79" s="492"/>
      <c r="D79" s="154" t="s">
        <v>91</v>
      </c>
      <c r="E79" s="154"/>
      <c r="F79" s="154"/>
      <c r="G79" s="154"/>
    </row>
    <row r="80" spans="1:7" ht="15" customHeight="1">
      <c r="A80" s="153"/>
      <c r="B80" s="492" t="s">
        <v>100</v>
      </c>
      <c r="C80" s="492"/>
      <c r="D80" s="154" t="s">
        <v>101</v>
      </c>
      <c r="E80" s="154"/>
      <c r="F80" s="154"/>
      <c r="G80" s="154">
        <f>E80*F80</f>
        <v>0</v>
      </c>
    </row>
    <row r="81" spans="1:7" ht="15" customHeight="1">
      <c r="A81" s="153"/>
      <c r="B81" s="492" t="s">
        <v>102</v>
      </c>
      <c r="C81" s="492"/>
      <c r="D81" s="154" t="s">
        <v>91</v>
      </c>
      <c r="E81" s="154"/>
      <c r="F81" s="154"/>
      <c r="G81" s="154">
        <f>E79*F81</f>
        <v>0</v>
      </c>
    </row>
    <row r="82" spans="1:7" ht="14.25" customHeight="1">
      <c r="A82" s="508"/>
      <c r="B82" s="508"/>
      <c r="C82" s="508"/>
      <c r="D82" s="155"/>
      <c r="E82" s="155"/>
      <c r="F82" s="155"/>
      <c r="G82" s="155"/>
    </row>
    <row r="83" spans="1:7" ht="14.25">
      <c r="A83" s="508" t="s">
        <v>103</v>
      </c>
      <c r="B83" s="508"/>
      <c r="C83" s="508"/>
      <c r="D83" s="155"/>
      <c r="E83" s="155"/>
      <c r="F83" s="155"/>
      <c r="G83" s="155"/>
    </row>
    <row r="84" spans="1:7" ht="15" customHeight="1">
      <c r="A84" s="153"/>
      <c r="B84" s="492" t="s">
        <v>97</v>
      </c>
      <c r="C84" s="492"/>
      <c r="D84" s="154" t="s">
        <v>91</v>
      </c>
      <c r="E84" s="154">
        <v>16</v>
      </c>
      <c r="F84" s="154"/>
      <c r="G84" s="154"/>
    </row>
    <row r="85" spans="1:7" ht="15" customHeight="1">
      <c r="A85" s="153"/>
      <c r="B85" s="492" t="s">
        <v>104</v>
      </c>
      <c r="C85" s="492"/>
      <c r="D85" s="154" t="s">
        <v>101</v>
      </c>
      <c r="E85" s="154">
        <v>1.35</v>
      </c>
      <c r="F85" s="154">
        <v>1.68</v>
      </c>
      <c r="G85" s="156">
        <f>E84*E85*F85</f>
        <v>36.288000000000004</v>
      </c>
    </row>
    <row r="86" spans="1:7" ht="14.25" customHeight="1">
      <c r="A86" s="153"/>
      <c r="B86" s="492" t="s">
        <v>105</v>
      </c>
      <c r="C86" s="492"/>
      <c r="D86" s="154" t="s">
        <v>85</v>
      </c>
      <c r="E86" s="154"/>
      <c r="F86" s="154">
        <v>11.8</v>
      </c>
      <c r="G86" s="156">
        <f>E84*F86</f>
        <v>188.8</v>
      </c>
    </row>
    <row r="87" spans="1:7" ht="15" customHeight="1">
      <c r="A87" s="508"/>
      <c r="B87" s="508"/>
      <c r="C87" s="508"/>
      <c r="D87" s="155"/>
      <c r="E87" s="155"/>
      <c r="F87" s="155"/>
      <c r="G87" s="155"/>
    </row>
    <row r="88" spans="1:7" ht="14.25">
      <c r="A88" s="508" t="s">
        <v>106</v>
      </c>
      <c r="B88" s="508"/>
      <c r="C88" s="508"/>
      <c r="D88" s="155"/>
      <c r="E88" s="155"/>
      <c r="F88" s="155"/>
      <c r="G88" s="155"/>
    </row>
    <row r="89" spans="1:7" ht="15" customHeight="1">
      <c r="A89" s="153"/>
      <c r="B89" s="492" t="s">
        <v>97</v>
      </c>
      <c r="C89" s="492"/>
      <c r="D89" s="154" t="s">
        <v>91</v>
      </c>
      <c r="E89" s="154">
        <v>6</v>
      </c>
      <c r="F89" s="154"/>
      <c r="G89" s="154"/>
    </row>
    <row r="90" spans="1:7" ht="15" customHeight="1">
      <c r="A90" s="153"/>
      <c r="B90" s="492" t="s">
        <v>104</v>
      </c>
      <c r="C90" s="492"/>
      <c r="D90" s="154" t="s">
        <v>101</v>
      </c>
      <c r="E90" s="154">
        <v>0.5</v>
      </c>
      <c r="F90" s="154">
        <v>1.68</v>
      </c>
      <c r="G90" s="156">
        <f>E89*E90*F90</f>
        <v>5.04</v>
      </c>
    </row>
    <row r="91" spans="1:7" ht="14.25" customHeight="1">
      <c r="A91" s="153"/>
      <c r="B91" s="492" t="s">
        <v>107</v>
      </c>
      <c r="C91" s="492"/>
      <c r="D91" s="154" t="s">
        <v>85</v>
      </c>
      <c r="E91" s="154"/>
      <c r="F91" s="154">
        <v>0.6</v>
      </c>
      <c r="G91" s="154">
        <f>E89*F91</f>
        <v>3.5999999999999996</v>
      </c>
    </row>
    <row r="93" spans="1:7" ht="15.75">
      <c r="A93" s="508" t="s">
        <v>208</v>
      </c>
      <c r="B93" s="508"/>
      <c r="C93" s="508"/>
      <c r="D93" s="141"/>
      <c r="E93" s="141"/>
      <c r="F93" s="143"/>
      <c r="G93" s="143"/>
    </row>
    <row r="94" spans="1:7" ht="18.75" customHeight="1">
      <c r="A94" s="147"/>
      <c r="B94" s="496"/>
      <c r="C94" s="496"/>
      <c r="D94" s="137"/>
      <c r="E94" s="137"/>
      <c r="F94" s="137"/>
      <c r="G94" s="137"/>
    </row>
    <row r="95" spans="1:7" ht="14.25">
      <c r="A95" s="147"/>
      <c r="B95" s="496"/>
      <c r="C95" s="496"/>
      <c r="D95" s="137"/>
      <c r="E95" s="137"/>
      <c r="F95" s="137"/>
      <c r="G95" s="137"/>
    </row>
    <row r="96" spans="1:7" ht="14.25">
      <c r="A96" s="147"/>
      <c r="B96" s="493"/>
      <c r="C96" s="494"/>
      <c r="D96" s="137"/>
      <c r="E96" s="138"/>
      <c r="F96" s="137"/>
      <c r="G96" s="140">
        <f>SUM(G94:G95)</f>
        <v>0</v>
      </c>
    </row>
    <row r="97" spans="1:7" ht="14.25" customHeight="1">
      <c r="A97" s="137"/>
      <c r="B97" s="493" t="s">
        <v>108</v>
      </c>
      <c r="C97" s="494"/>
      <c r="D97" s="137"/>
      <c r="E97" s="138"/>
      <c r="F97" s="137"/>
      <c r="G97" s="140">
        <f>SUM(G71:G96)</f>
        <v>233.728</v>
      </c>
    </row>
    <row r="98" spans="1:7" ht="12.75">
      <c r="A98" s="157"/>
      <c r="B98" s="157"/>
      <c r="C98" s="157"/>
      <c r="D98" s="157"/>
      <c r="E98" s="157"/>
      <c r="F98" s="157"/>
      <c r="G98" s="157"/>
    </row>
    <row r="99" ht="15" thickBot="1">
      <c r="A99" s="129" t="s">
        <v>110</v>
      </c>
    </row>
    <row r="100" spans="1:7" ht="26.25" customHeight="1">
      <c r="A100" s="149" t="s">
        <v>37</v>
      </c>
      <c r="B100" s="158" t="s">
        <v>38</v>
      </c>
      <c r="C100" s="159"/>
      <c r="D100" s="130" t="s">
        <v>39</v>
      </c>
      <c r="E100" s="131" t="s">
        <v>207</v>
      </c>
      <c r="F100" s="131" t="s">
        <v>58</v>
      </c>
      <c r="G100" s="131" t="s">
        <v>59</v>
      </c>
    </row>
    <row r="101" spans="1:7" ht="15" customHeight="1">
      <c r="A101" s="137" t="s">
        <v>9</v>
      </c>
      <c r="B101" s="491" t="s">
        <v>111</v>
      </c>
      <c r="C101" s="491"/>
      <c r="D101" s="154" t="s">
        <v>91</v>
      </c>
      <c r="E101" s="154"/>
      <c r="F101" s="154"/>
      <c r="G101" s="137">
        <f>E101*F101</f>
        <v>0</v>
      </c>
    </row>
    <row r="102" spans="1:7" ht="15" customHeight="1">
      <c r="A102" s="137" t="s">
        <v>45</v>
      </c>
      <c r="B102" s="491" t="s">
        <v>112</v>
      </c>
      <c r="C102" s="491"/>
      <c r="D102" s="154" t="s">
        <v>91</v>
      </c>
      <c r="E102" s="154"/>
      <c r="F102" s="154"/>
      <c r="G102" s="137">
        <f>E102*F102</f>
        <v>0</v>
      </c>
    </row>
    <row r="103" spans="1:7" ht="15" customHeight="1">
      <c r="A103" s="137" t="s">
        <v>14</v>
      </c>
      <c r="B103" s="491" t="s">
        <v>113</v>
      </c>
      <c r="C103" s="491"/>
      <c r="D103" s="154" t="s">
        <v>91</v>
      </c>
      <c r="E103" s="154"/>
      <c r="F103" s="154"/>
      <c r="G103" s="137">
        <f>E103*F103</f>
        <v>0</v>
      </c>
    </row>
    <row r="104" spans="1:7" ht="15" customHeight="1">
      <c r="A104" s="137" t="s">
        <v>49</v>
      </c>
      <c r="B104" s="491" t="s">
        <v>94</v>
      </c>
      <c r="C104" s="491"/>
      <c r="D104" s="154"/>
      <c r="E104" s="154"/>
      <c r="F104" s="154"/>
      <c r="G104" s="154"/>
    </row>
    <row r="105" spans="1:7" ht="15" customHeight="1">
      <c r="A105" s="137"/>
      <c r="B105" s="492" t="s">
        <v>95</v>
      </c>
      <c r="C105" s="492"/>
      <c r="D105" s="154" t="s">
        <v>96</v>
      </c>
      <c r="E105" s="154">
        <v>2</v>
      </c>
      <c r="F105" s="154"/>
      <c r="G105" s="154"/>
    </row>
    <row r="106" spans="1:7" ht="15" customHeight="1">
      <c r="A106" s="137"/>
      <c r="B106" s="492" t="s">
        <v>97</v>
      </c>
      <c r="C106" s="492"/>
      <c r="D106" s="154" t="s">
        <v>91</v>
      </c>
      <c r="E106" s="154">
        <v>16</v>
      </c>
      <c r="F106" s="154"/>
      <c r="G106" s="154"/>
    </row>
    <row r="107" spans="1:7" ht="15" customHeight="1">
      <c r="A107" s="137"/>
      <c r="B107" s="492" t="s">
        <v>114</v>
      </c>
      <c r="C107" s="492"/>
      <c r="D107" s="154" t="s">
        <v>85</v>
      </c>
      <c r="E107" s="154"/>
      <c r="F107" s="154">
        <v>16.04</v>
      </c>
      <c r="G107" s="156">
        <f>E105*E106*F107</f>
        <v>513.28</v>
      </c>
    </row>
    <row r="108" spans="1:7" ht="15" customHeight="1">
      <c r="A108" s="137" t="s">
        <v>19</v>
      </c>
      <c r="B108" s="495" t="s">
        <v>115</v>
      </c>
      <c r="C108" s="495"/>
      <c r="D108" s="154"/>
      <c r="E108" s="154"/>
      <c r="F108" s="154"/>
      <c r="G108" s="154"/>
    </row>
    <row r="109" spans="1:7" ht="15" customHeight="1">
      <c r="A109" s="137"/>
      <c r="B109" s="492" t="s">
        <v>116</v>
      </c>
      <c r="C109" s="492"/>
      <c r="D109" s="154" t="s">
        <v>117</v>
      </c>
      <c r="E109" s="154">
        <v>2</v>
      </c>
      <c r="F109" s="154"/>
      <c r="G109" s="154"/>
    </row>
    <row r="110" spans="1:7" ht="15" customHeight="1">
      <c r="A110" s="137"/>
      <c r="B110" s="492" t="s">
        <v>118</v>
      </c>
      <c r="C110" s="492"/>
      <c r="D110" s="154" t="s">
        <v>85</v>
      </c>
      <c r="E110" s="154">
        <v>10</v>
      </c>
      <c r="F110" s="160">
        <f>(14249.86+97346.65)/73/12/193*0.5</f>
        <v>0.3300343944448388</v>
      </c>
      <c r="G110" s="156">
        <f>E109*E110*F110</f>
        <v>6.6006878888967755</v>
      </c>
    </row>
    <row r="111" spans="1:7" ht="15" customHeight="1">
      <c r="A111" s="137" t="s">
        <v>54</v>
      </c>
      <c r="B111" s="495" t="s">
        <v>119</v>
      </c>
      <c r="C111" s="495"/>
      <c r="D111" s="154"/>
      <c r="E111" s="154"/>
      <c r="F111" s="154"/>
      <c r="G111" s="154"/>
    </row>
    <row r="112" spans="1:7" ht="15" customHeight="1">
      <c r="A112" s="137"/>
      <c r="B112" s="492" t="s">
        <v>120</v>
      </c>
      <c r="C112" s="492"/>
      <c r="D112" s="154" t="s">
        <v>117</v>
      </c>
      <c r="E112" s="154"/>
      <c r="F112" s="154"/>
      <c r="G112" s="154"/>
    </row>
    <row r="113" spans="1:7" ht="15" customHeight="1">
      <c r="A113" s="137"/>
      <c r="B113" s="492" t="s">
        <v>121</v>
      </c>
      <c r="C113" s="492"/>
      <c r="D113" s="154" t="s">
        <v>85</v>
      </c>
      <c r="E113" s="154"/>
      <c r="F113" s="154"/>
      <c r="G113" s="154">
        <f>E112*E113*F113</f>
        <v>0</v>
      </c>
    </row>
    <row r="114" spans="1:7" ht="15" customHeight="1">
      <c r="A114" s="137" t="s">
        <v>22</v>
      </c>
      <c r="B114" s="495" t="s">
        <v>99</v>
      </c>
      <c r="C114" s="495"/>
      <c r="D114" s="154"/>
      <c r="E114" s="154"/>
      <c r="F114" s="154"/>
      <c r="G114" s="154"/>
    </row>
    <row r="115" spans="1:7" ht="15" customHeight="1">
      <c r="A115" s="137"/>
      <c r="B115" s="492" t="s">
        <v>97</v>
      </c>
      <c r="C115" s="492"/>
      <c r="D115" s="154" t="s">
        <v>91</v>
      </c>
      <c r="E115" s="154">
        <v>6</v>
      </c>
      <c r="F115" s="154"/>
      <c r="G115" s="154"/>
    </row>
    <row r="116" spans="1:7" ht="15" customHeight="1">
      <c r="A116" s="137"/>
      <c r="B116" s="492" t="s">
        <v>102</v>
      </c>
      <c r="C116" s="492"/>
      <c r="D116" s="154" t="s">
        <v>85</v>
      </c>
      <c r="E116" s="154"/>
      <c r="F116" s="154">
        <v>3.71</v>
      </c>
      <c r="G116" s="156">
        <f>E115*F116</f>
        <v>22.259999999999998</v>
      </c>
    </row>
    <row r="117" spans="1:7" ht="14.25" customHeight="1">
      <c r="A117" s="137" t="s">
        <v>72</v>
      </c>
      <c r="B117" s="491" t="s">
        <v>122</v>
      </c>
      <c r="C117" s="491"/>
      <c r="D117" s="154" t="s">
        <v>91</v>
      </c>
      <c r="E117" s="154"/>
      <c r="F117" s="154"/>
      <c r="G117" s="154">
        <f>E117*F117</f>
        <v>0</v>
      </c>
    </row>
    <row r="118" spans="1:7" ht="14.25" customHeight="1">
      <c r="A118" s="137"/>
      <c r="B118" s="493" t="s">
        <v>123</v>
      </c>
      <c r="C118" s="494"/>
      <c r="D118" s="137"/>
      <c r="E118" s="138"/>
      <c r="F118" s="137"/>
      <c r="G118" s="140">
        <f>SUM(G101:G117)</f>
        <v>542.1406878888968</v>
      </c>
    </row>
    <row r="119" ht="14.25">
      <c r="A119" s="121"/>
    </row>
    <row r="120" ht="14.25">
      <c r="A120" s="129" t="s">
        <v>124</v>
      </c>
    </row>
    <row r="121" ht="15" thickBot="1">
      <c r="A121" s="129"/>
    </row>
    <row r="122" spans="1:9" ht="29.25" customHeight="1">
      <c r="A122" s="149" t="s">
        <v>37</v>
      </c>
      <c r="B122" s="158" t="s">
        <v>38</v>
      </c>
      <c r="C122" s="159"/>
      <c r="D122" s="130" t="s">
        <v>39</v>
      </c>
      <c r="E122" s="161" t="s">
        <v>207</v>
      </c>
      <c r="F122" s="131" t="s">
        <v>58</v>
      </c>
      <c r="G122" s="131" t="s">
        <v>59</v>
      </c>
      <c r="H122" s="162"/>
      <c r="I122" s="163"/>
    </row>
    <row r="123" spans="1:9" ht="15" customHeight="1">
      <c r="A123" s="137" t="s">
        <v>9</v>
      </c>
      <c r="B123" s="491" t="s">
        <v>125</v>
      </c>
      <c r="C123" s="491"/>
      <c r="D123" s="154" t="s">
        <v>96</v>
      </c>
      <c r="E123" s="154">
        <v>1</v>
      </c>
      <c r="F123" s="154"/>
      <c r="G123" s="154"/>
      <c r="H123" s="143"/>
      <c r="I123" s="163"/>
    </row>
    <row r="124" spans="1:9" ht="15" customHeight="1">
      <c r="A124" s="137" t="s">
        <v>45</v>
      </c>
      <c r="B124" s="491" t="s">
        <v>126</v>
      </c>
      <c r="C124" s="491"/>
      <c r="D124" s="154" t="s">
        <v>127</v>
      </c>
      <c r="E124" s="154">
        <v>100</v>
      </c>
      <c r="F124" s="154"/>
      <c r="G124" s="154"/>
      <c r="H124" s="143"/>
      <c r="I124" s="163"/>
    </row>
    <row r="125" spans="1:9" ht="26.25" customHeight="1">
      <c r="A125" s="137" t="s">
        <v>14</v>
      </c>
      <c r="B125" s="491" t="s">
        <v>128</v>
      </c>
      <c r="C125" s="491"/>
      <c r="D125" s="154" t="s">
        <v>129</v>
      </c>
      <c r="E125" s="154">
        <v>12</v>
      </c>
      <c r="F125" s="160">
        <f>1880.95/722.42</f>
        <v>2.6036793001301186</v>
      </c>
      <c r="G125" s="156">
        <f>E123*E125*F125</f>
        <v>31.244151601561423</v>
      </c>
      <c r="H125" s="143"/>
      <c r="I125" s="163"/>
    </row>
    <row r="126" spans="1:9" ht="14.25" customHeight="1">
      <c r="A126" s="137" t="s">
        <v>49</v>
      </c>
      <c r="B126" s="491" t="s">
        <v>130</v>
      </c>
      <c r="C126" s="491"/>
      <c r="D126" s="154" t="s">
        <v>131</v>
      </c>
      <c r="E126" s="154"/>
      <c r="F126" s="154"/>
      <c r="G126" s="154"/>
      <c r="H126" s="143"/>
      <c r="I126" s="163"/>
    </row>
    <row r="127" spans="1:9" ht="15" customHeight="1">
      <c r="A127" s="137"/>
      <c r="B127" s="491" t="s">
        <v>132</v>
      </c>
      <c r="C127" s="491"/>
      <c r="D127" s="154" t="s">
        <v>131</v>
      </c>
      <c r="E127" s="154"/>
      <c r="F127" s="154"/>
      <c r="G127" s="154"/>
      <c r="H127" s="143"/>
      <c r="I127" s="163"/>
    </row>
    <row r="128" spans="1:9" ht="15">
      <c r="A128" s="137"/>
      <c r="B128" s="491" t="s">
        <v>133</v>
      </c>
      <c r="C128" s="491"/>
      <c r="D128" s="154" t="s">
        <v>131</v>
      </c>
      <c r="E128" s="164">
        <v>7</v>
      </c>
      <c r="F128" s="164">
        <v>15.83</v>
      </c>
      <c r="G128" s="156">
        <f>E128*F128</f>
        <v>110.81</v>
      </c>
      <c r="H128" s="143"/>
      <c r="I128" s="163"/>
    </row>
    <row r="129" spans="1:9" ht="15">
      <c r="A129" s="137"/>
      <c r="B129" s="491" t="s">
        <v>134</v>
      </c>
      <c r="C129" s="491"/>
      <c r="D129" s="154" t="s">
        <v>131</v>
      </c>
      <c r="E129" s="154"/>
      <c r="F129" s="154"/>
      <c r="G129" s="154"/>
      <c r="H129" s="143"/>
      <c r="I129" s="163"/>
    </row>
    <row r="130" spans="1:9" ht="15">
      <c r="A130" s="137"/>
      <c r="B130" s="493" t="s">
        <v>135</v>
      </c>
      <c r="C130" s="494"/>
      <c r="D130" s="137"/>
      <c r="E130" s="138"/>
      <c r="F130" s="137"/>
      <c r="G130" s="140">
        <f>SUM(G123:G129)</f>
        <v>142.05415160156141</v>
      </c>
      <c r="H130" s="143"/>
      <c r="I130" s="163"/>
    </row>
    <row r="131" spans="1:9" ht="12.75">
      <c r="A131" s="157"/>
      <c r="B131" s="157"/>
      <c r="C131" s="157"/>
      <c r="D131" s="157"/>
      <c r="E131" s="157"/>
      <c r="F131" s="157"/>
      <c r="G131" s="157"/>
      <c r="H131" s="157"/>
      <c r="I131" s="157"/>
    </row>
    <row r="132" ht="15" thickBot="1">
      <c r="A132" s="129" t="s">
        <v>136</v>
      </c>
    </row>
    <row r="133" spans="1:7" ht="28.5" customHeight="1">
      <c r="A133" s="149" t="s">
        <v>37</v>
      </c>
      <c r="B133" s="158" t="s">
        <v>38</v>
      </c>
      <c r="C133" s="159"/>
      <c r="D133" s="131" t="s">
        <v>39</v>
      </c>
      <c r="E133" s="131" t="s">
        <v>207</v>
      </c>
      <c r="F133" s="131" t="s">
        <v>58</v>
      </c>
      <c r="G133" s="131" t="s">
        <v>59</v>
      </c>
    </row>
    <row r="134" spans="1:7" ht="14.25" customHeight="1">
      <c r="A134" s="137" t="s">
        <v>9</v>
      </c>
      <c r="B134" s="491" t="s">
        <v>137</v>
      </c>
      <c r="C134" s="491"/>
      <c r="D134" s="137" t="s">
        <v>138</v>
      </c>
      <c r="E134" s="165">
        <v>5</v>
      </c>
      <c r="F134" s="154"/>
      <c r="G134" s="154"/>
    </row>
    <row r="135" spans="1:7" ht="14.25" customHeight="1">
      <c r="A135" s="137" t="s">
        <v>45</v>
      </c>
      <c r="B135" s="491" t="s">
        <v>139</v>
      </c>
      <c r="C135" s="491"/>
      <c r="D135" s="507"/>
      <c r="E135" s="507"/>
      <c r="F135" s="507"/>
      <c r="G135" s="507"/>
    </row>
    <row r="136" spans="1:7" ht="14.25" customHeight="1">
      <c r="A136" s="137" t="s">
        <v>14</v>
      </c>
      <c r="B136" s="491" t="s">
        <v>140</v>
      </c>
      <c r="C136" s="491"/>
      <c r="D136" s="507"/>
      <c r="E136" s="507"/>
      <c r="F136" s="507"/>
      <c r="G136" s="507"/>
    </row>
    <row r="137" spans="1:7" ht="15" customHeight="1">
      <c r="A137" s="137" t="s">
        <v>49</v>
      </c>
      <c r="B137" s="491" t="s">
        <v>141</v>
      </c>
      <c r="C137" s="491"/>
      <c r="D137" s="137" t="s">
        <v>138</v>
      </c>
      <c r="E137" s="154">
        <v>1</v>
      </c>
      <c r="F137" s="154">
        <v>25</v>
      </c>
      <c r="G137" s="165">
        <f>E137*F137*E134</f>
        <v>125</v>
      </c>
    </row>
    <row r="138" spans="1:7" ht="15" customHeight="1">
      <c r="A138" s="137" t="s">
        <v>19</v>
      </c>
      <c r="B138" s="491" t="s">
        <v>142</v>
      </c>
      <c r="C138" s="491"/>
      <c r="D138" s="137" t="s">
        <v>138</v>
      </c>
      <c r="E138" s="154">
        <v>2</v>
      </c>
      <c r="F138" s="154">
        <v>150</v>
      </c>
      <c r="G138" s="154">
        <f>E138*F138*E134</f>
        <v>1500</v>
      </c>
    </row>
    <row r="139" spans="1:7" ht="15" customHeight="1">
      <c r="A139" s="137" t="s">
        <v>54</v>
      </c>
      <c r="B139" s="491" t="s">
        <v>143</v>
      </c>
      <c r="C139" s="491"/>
      <c r="D139" s="137" t="s">
        <v>85</v>
      </c>
      <c r="E139" s="154"/>
      <c r="F139" s="154"/>
      <c r="G139" s="154">
        <f>E134*F139</f>
        <v>0</v>
      </c>
    </row>
    <row r="140" spans="1:7" ht="15" customHeight="1">
      <c r="A140" s="137" t="s">
        <v>22</v>
      </c>
      <c r="B140" s="491" t="s">
        <v>144</v>
      </c>
      <c r="C140" s="491"/>
      <c r="D140" s="137" t="s">
        <v>85</v>
      </c>
      <c r="E140" s="154"/>
      <c r="F140" s="154"/>
      <c r="G140" s="154">
        <f>E134*F140</f>
        <v>0</v>
      </c>
    </row>
    <row r="141" spans="1:7" ht="15" customHeight="1">
      <c r="A141" s="137" t="s">
        <v>72</v>
      </c>
      <c r="B141" s="491" t="s">
        <v>145</v>
      </c>
      <c r="C141" s="491"/>
      <c r="D141" s="137" t="s">
        <v>85</v>
      </c>
      <c r="E141" s="154"/>
      <c r="F141" s="154"/>
      <c r="G141" s="154">
        <f>E134*F141</f>
        <v>0</v>
      </c>
    </row>
    <row r="142" spans="1:7" ht="15" customHeight="1">
      <c r="A142" s="137" t="s">
        <v>26</v>
      </c>
      <c r="B142" s="491" t="s">
        <v>146</v>
      </c>
      <c r="C142" s="491"/>
      <c r="D142" s="137" t="s">
        <v>85</v>
      </c>
      <c r="E142" s="154"/>
      <c r="F142" s="154"/>
      <c r="G142" s="154">
        <f>F142</f>
        <v>0</v>
      </c>
    </row>
    <row r="143" spans="1:7" ht="14.25">
      <c r="A143" s="137"/>
      <c r="B143" s="493" t="s">
        <v>147</v>
      </c>
      <c r="C143" s="494"/>
      <c r="D143" s="137"/>
      <c r="E143" s="138"/>
      <c r="F143" s="137"/>
      <c r="G143" s="140">
        <f>SUM(G136:G142)</f>
        <v>1625</v>
      </c>
    </row>
    <row r="144" ht="14.25">
      <c r="A144" s="121"/>
    </row>
    <row r="145" ht="14.25">
      <c r="A145" s="121"/>
    </row>
    <row r="146" ht="14.25">
      <c r="A146" s="129" t="s">
        <v>148</v>
      </c>
    </row>
    <row r="147" ht="15" thickBot="1">
      <c r="A147" s="129"/>
    </row>
    <row r="148" spans="1:7" ht="28.5" customHeight="1">
      <c r="A148" s="149" t="s">
        <v>37</v>
      </c>
      <c r="B148" s="503" t="s">
        <v>38</v>
      </c>
      <c r="C148" s="504"/>
      <c r="D148" s="130" t="s">
        <v>39</v>
      </c>
      <c r="E148" s="131" t="s">
        <v>207</v>
      </c>
      <c r="F148" s="131" t="s">
        <v>58</v>
      </c>
      <c r="G148" s="131" t="s">
        <v>59</v>
      </c>
    </row>
    <row r="149" spans="1:7" ht="14.25" customHeight="1">
      <c r="A149" s="137" t="s">
        <v>9</v>
      </c>
      <c r="B149" s="491" t="s">
        <v>149</v>
      </c>
      <c r="C149" s="491"/>
      <c r="D149" s="137" t="s">
        <v>85</v>
      </c>
      <c r="E149" s="154"/>
      <c r="F149" s="154"/>
      <c r="G149" s="154">
        <f>E149*F149</f>
        <v>0</v>
      </c>
    </row>
    <row r="150" spans="1:7" ht="14.25" customHeight="1">
      <c r="A150" s="137" t="s">
        <v>45</v>
      </c>
      <c r="B150" s="491" t="s">
        <v>150</v>
      </c>
      <c r="C150" s="491"/>
      <c r="D150" s="137" t="s">
        <v>85</v>
      </c>
      <c r="E150" s="154"/>
      <c r="F150" s="154"/>
      <c r="G150" s="154">
        <v>10</v>
      </c>
    </row>
    <row r="151" spans="1:7" ht="15" customHeight="1">
      <c r="A151" s="137" t="s">
        <v>14</v>
      </c>
      <c r="B151" s="491" t="s">
        <v>231</v>
      </c>
      <c r="C151" s="491"/>
      <c r="D151" s="137" t="s">
        <v>96</v>
      </c>
      <c r="E151" s="160">
        <f>6/16</f>
        <v>0.375</v>
      </c>
      <c r="F151" s="154">
        <v>271.78</v>
      </c>
      <c r="G151" s="156">
        <f aca="true" t="shared" si="1" ref="G151:G157">E151*F151</f>
        <v>101.91749999999999</v>
      </c>
    </row>
    <row r="152" spans="1:7" ht="14.25">
      <c r="A152" s="137" t="s">
        <v>49</v>
      </c>
      <c r="B152" s="491" t="s">
        <v>152</v>
      </c>
      <c r="C152" s="491"/>
      <c r="D152" s="137" t="s">
        <v>96</v>
      </c>
      <c r="E152" s="154">
        <v>1</v>
      </c>
      <c r="F152" s="154">
        <v>14</v>
      </c>
      <c r="G152" s="154">
        <f t="shared" si="1"/>
        <v>14</v>
      </c>
    </row>
    <row r="153" spans="1:7" ht="15" customHeight="1">
      <c r="A153" s="137" t="s">
        <v>19</v>
      </c>
      <c r="B153" s="491" t="s">
        <v>153</v>
      </c>
      <c r="C153" s="491"/>
      <c r="D153" s="137"/>
      <c r="E153" s="154"/>
      <c r="F153" s="154"/>
      <c r="G153" s="154">
        <f>E153*F153</f>
        <v>0</v>
      </c>
    </row>
    <row r="154" spans="1:7" ht="15" customHeight="1">
      <c r="A154" s="137" t="s">
        <v>54</v>
      </c>
      <c r="B154" s="491" t="s">
        <v>154</v>
      </c>
      <c r="C154" s="491"/>
      <c r="D154" s="137"/>
      <c r="E154" s="154"/>
      <c r="F154" s="154"/>
      <c r="G154" s="154">
        <f t="shared" si="1"/>
        <v>0</v>
      </c>
    </row>
    <row r="155" spans="1:7" ht="15" customHeight="1">
      <c r="A155" s="137" t="s">
        <v>22</v>
      </c>
      <c r="B155" s="491" t="s">
        <v>155</v>
      </c>
      <c r="C155" s="491"/>
      <c r="D155" s="137"/>
      <c r="E155" s="154"/>
      <c r="F155" s="154"/>
      <c r="G155" s="154">
        <f t="shared" si="1"/>
        <v>0</v>
      </c>
    </row>
    <row r="156" spans="1:7" ht="15" customHeight="1">
      <c r="A156" s="137" t="s">
        <v>72</v>
      </c>
      <c r="B156" s="491" t="s">
        <v>156</v>
      </c>
      <c r="C156" s="491"/>
      <c r="D156" s="137"/>
      <c r="E156" s="154"/>
      <c r="F156" s="154"/>
      <c r="G156" s="154">
        <f t="shared" si="1"/>
        <v>0</v>
      </c>
    </row>
    <row r="157" spans="1:7" ht="15" customHeight="1">
      <c r="A157" s="137" t="s">
        <v>26</v>
      </c>
      <c r="B157" s="491" t="s">
        <v>157</v>
      </c>
      <c r="C157" s="491"/>
      <c r="D157" s="137" t="s">
        <v>85</v>
      </c>
      <c r="E157" s="154"/>
      <c r="F157" s="154"/>
      <c r="G157" s="154">
        <f t="shared" si="1"/>
        <v>0</v>
      </c>
    </row>
    <row r="158" spans="1:7" ht="15" customHeight="1">
      <c r="A158" s="137"/>
      <c r="B158" s="493" t="s">
        <v>158</v>
      </c>
      <c r="C158" s="494"/>
      <c r="D158" s="137"/>
      <c r="E158" s="138"/>
      <c r="F158" s="137"/>
      <c r="G158" s="140">
        <f>SUM(G149:G157)</f>
        <v>125.91749999999999</v>
      </c>
    </row>
    <row r="159" ht="14.25">
      <c r="A159" s="121"/>
    </row>
    <row r="160" ht="14.25">
      <c r="A160" s="129" t="s">
        <v>159</v>
      </c>
    </row>
    <row r="161" ht="15" thickBot="1">
      <c r="A161" s="129"/>
    </row>
    <row r="162" spans="1:7" ht="28.5" customHeight="1">
      <c r="A162" s="497" t="s">
        <v>37</v>
      </c>
      <c r="B162" s="503" t="s">
        <v>38</v>
      </c>
      <c r="C162" s="504"/>
      <c r="D162" s="130" t="s">
        <v>39</v>
      </c>
      <c r="E162" s="131" t="s">
        <v>207</v>
      </c>
      <c r="F162" s="131" t="s">
        <v>58</v>
      </c>
      <c r="G162" s="131" t="s">
        <v>59</v>
      </c>
    </row>
    <row r="163" spans="1:7" ht="15" customHeight="1">
      <c r="A163" s="502"/>
      <c r="B163" s="505"/>
      <c r="C163" s="506"/>
      <c r="D163" s="166"/>
      <c r="E163" s="167"/>
      <c r="F163" s="167"/>
      <c r="G163" s="167"/>
    </row>
    <row r="164" spans="1:7" ht="15" customHeight="1">
      <c r="A164" s="137" t="s">
        <v>9</v>
      </c>
      <c r="B164" s="507" t="s">
        <v>160</v>
      </c>
      <c r="C164" s="507"/>
      <c r="D164" s="137" t="s">
        <v>85</v>
      </c>
      <c r="E164" s="137"/>
      <c r="F164" s="137"/>
      <c r="G164" s="137">
        <f>E164*F164</f>
        <v>0</v>
      </c>
    </row>
    <row r="165" spans="1:7" ht="15" customHeight="1">
      <c r="A165" s="137"/>
      <c r="B165" s="510"/>
      <c r="C165" s="510"/>
      <c r="D165" s="137"/>
      <c r="E165" s="137"/>
      <c r="F165" s="137"/>
      <c r="G165" s="137"/>
    </row>
    <row r="166" spans="1:7" ht="15" customHeight="1">
      <c r="A166" s="137"/>
      <c r="B166" s="493" t="s">
        <v>161</v>
      </c>
      <c r="C166" s="494"/>
      <c r="D166" s="137"/>
      <c r="E166" s="137"/>
      <c r="F166" s="137"/>
      <c r="G166" s="137">
        <f>SUM(G164:G165)</f>
        <v>0</v>
      </c>
    </row>
    <row r="167" ht="15" customHeight="1">
      <c r="A167" s="121"/>
    </row>
    <row r="168" ht="14.25">
      <c r="A168" s="129" t="s">
        <v>162</v>
      </c>
    </row>
    <row r="169" ht="15" thickBot="1">
      <c r="A169" s="129"/>
    </row>
    <row r="170" spans="1:7" ht="28.5" customHeight="1">
      <c r="A170" s="149" t="s">
        <v>37</v>
      </c>
      <c r="B170" s="503" t="s">
        <v>38</v>
      </c>
      <c r="C170" s="504"/>
      <c r="D170" s="130" t="s">
        <v>39</v>
      </c>
      <c r="E170" s="131" t="s">
        <v>207</v>
      </c>
      <c r="F170" s="131" t="s">
        <v>58</v>
      </c>
      <c r="G170" s="131" t="s">
        <v>59</v>
      </c>
    </row>
    <row r="171" spans="1:7" ht="14.25" customHeight="1">
      <c r="A171" s="137" t="s">
        <v>9</v>
      </c>
      <c r="B171" s="491" t="s">
        <v>163</v>
      </c>
      <c r="C171" s="491"/>
      <c r="D171" s="137"/>
      <c r="E171" s="137"/>
      <c r="F171" s="137"/>
      <c r="G171" s="137"/>
    </row>
    <row r="172" spans="1:7" ht="14.25" customHeight="1">
      <c r="A172" s="137"/>
      <c r="B172" s="491" t="s">
        <v>164</v>
      </c>
      <c r="C172" s="491"/>
      <c r="D172" s="137" t="s">
        <v>165</v>
      </c>
      <c r="E172" s="154" t="s">
        <v>169</v>
      </c>
      <c r="F172" s="154">
        <v>77</v>
      </c>
      <c r="G172" s="154">
        <f>77*3</f>
        <v>231</v>
      </c>
    </row>
    <row r="173" spans="1:7" ht="14.25" customHeight="1">
      <c r="A173" s="137"/>
      <c r="B173" s="491" t="s">
        <v>167</v>
      </c>
      <c r="C173" s="491"/>
      <c r="D173" s="137" t="s">
        <v>165</v>
      </c>
      <c r="E173" s="154"/>
      <c r="F173" s="154"/>
      <c r="G173" s="154">
        <f aca="true" t="shared" si="2" ref="G173:G181">E173*F173</f>
        <v>0</v>
      </c>
    </row>
    <row r="174" spans="1:7" ht="14.25" customHeight="1">
      <c r="A174" s="137"/>
      <c r="B174" s="491" t="s">
        <v>168</v>
      </c>
      <c r="C174" s="491"/>
      <c r="D174" s="137" t="s">
        <v>165</v>
      </c>
      <c r="E174" s="154" t="s">
        <v>232</v>
      </c>
      <c r="F174" s="154">
        <v>49</v>
      </c>
      <c r="G174" s="154">
        <f>49*10</f>
        <v>490</v>
      </c>
    </row>
    <row r="175" spans="1:7" ht="29.25" customHeight="1">
      <c r="A175" s="137" t="s">
        <v>45</v>
      </c>
      <c r="B175" s="491" t="s">
        <v>170</v>
      </c>
      <c r="C175" s="491"/>
      <c r="D175" s="137" t="s">
        <v>165</v>
      </c>
      <c r="E175" s="154"/>
      <c r="F175" s="154"/>
      <c r="G175" s="154">
        <f t="shared" si="2"/>
        <v>0</v>
      </c>
    </row>
    <row r="176" spans="1:7" ht="15" customHeight="1">
      <c r="A176" s="137" t="s">
        <v>14</v>
      </c>
      <c r="B176" s="491" t="s">
        <v>171</v>
      </c>
      <c r="C176" s="491"/>
      <c r="D176" s="137" t="s">
        <v>85</v>
      </c>
      <c r="E176" s="154"/>
      <c r="F176" s="154"/>
      <c r="G176" s="154">
        <f t="shared" si="2"/>
        <v>0</v>
      </c>
    </row>
    <row r="177" spans="1:9" ht="15" customHeight="1">
      <c r="A177" s="137" t="s">
        <v>49</v>
      </c>
      <c r="B177" s="491" t="s">
        <v>172</v>
      </c>
      <c r="C177" s="491"/>
      <c r="D177" s="137" t="s">
        <v>91</v>
      </c>
      <c r="E177" s="154">
        <v>1</v>
      </c>
      <c r="F177" s="160">
        <f>23700*1.265/712.5</f>
        <v>42.0778947368421</v>
      </c>
      <c r="G177" s="156">
        <f t="shared" si="2"/>
        <v>42.0778947368421</v>
      </c>
      <c r="I177" s="119" t="s">
        <v>173</v>
      </c>
    </row>
    <row r="178" spans="1:7" ht="15" customHeight="1">
      <c r="A178" s="137" t="s">
        <v>19</v>
      </c>
      <c r="B178" s="491" t="s">
        <v>174</v>
      </c>
      <c r="C178" s="491"/>
      <c r="D178" s="137" t="s">
        <v>43</v>
      </c>
      <c r="E178" s="154"/>
      <c r="F178" s="154"/>
      <c r="G178" s="154">
        <f t="shared" si="2"/>
        <v>0</v>
      </c>
    </row>
    <row r="179" spans="1:9" ht="14.25" customHeight="1">
      <c r="A179" s="137" t="s">
        <v>54</v>
      </c>
      <c r="B179" s="470" t="s">
        <v>432</v>
      </c>
      <c r="C179" s="470"/>
      <c r="D179" s="21" t="s">
        <v>43</v>
      </c>
      <c r="E179" s="41">
        <f>2/40</f>
        <v>0.05</v>
      </c>
      <c r="F179" s="322">
        <f>17410*1.27/210</f>
        <v>105.28904761904762</v>
      </c>
      <c r="G179" s="290">
        <f>E179*F179</f>
        <v>5.264452380952381</v>
      </c>
      <c r="H179" s="243"/>
      <c r="I179" s="325" t="s">
        <v>544</v>
      </c>
    </row>
    <row r="180" spans="1:7" ht="14.25" customHeight="1">
      <c r="A180" s="137" t="s">
        <v>22</v>
      </c>
      <c r="B180" s="491" t="s">
        <v>176</v>
      </c>
      <c r="C180" s="491"/>
      <c r="D180" s="137" t="s">
        <v>43</v>
      </c>
      <c r="E180" s="154"/>
      <c r="F180" s="154"/>
      <c r="G180" s="154">
        <f t="shared" si="2"/>
        <v>0</v>
      </c>
    </row>
    <row r="181" spans="1:7" ht="15" customHeight="1">
      <c r="A181" s="137" t="s">
        <v>72</v>
      </c>
      <c r="B181" s="491" t="s">
        <v>209</v>
      </c>
      <c r="C181" s="491"/>
      <c r="D181" s="137" t="s">
        <v>85</v>
      </c>
      <c r="E181" s="154"/>
      <c r="F181" s="154"/>
      <c r="G181" s="154">
        <f t="shared" si="2"/>
        <v>0</v>
      </c>
    </row>
    <row r="182" spans="1:7" ht="15" customHeight="1">
      <c r="A182" s="137"/>
      <c r="B182" s="493" t="s">
        <v>177</v>
      </c>
      <c r="C182" s="494"/>
      <c r="D182" s="137"/>
      <c r="E182" s="137"/>
      <c r="F182" s="137"/>
      <c r="G182" s="140">
        <f>SUM(G172:G181)</f>
        <v>768.3423471177946</v>
      </c>
    </row>
    <row r="183" ht="13.5" customHeight="1">
      <c r="A183" s="121"/>
    </row>
    <row r="184" ht="14.25">
      <c r="A184" s="129" t="s">
        <v>178</v>
      </c>
    </row>
    <row r="185" ht="15" thickBot="1">
      <c r="A185" s="129"/>
    </row>
    <row r="186" spans="1:7" ht="28.5" customHeight="1">
      <c r="A186" s="149" t="s">
        <v>37</v>
      </c>
      <c r="B186" s="503" t="s">
        <v>38</v>
      </c>
      <c r="C186" s="504"/>
      <c r="D186" s="130" t="s">
        <v>39</v>
      </c>
      <c r="E186" s="131" t="s">
        <v>207</v>
      </c>
      <c r="F186" s="131" t="s">
        <v>58</v>
      </c>
      <c r="G186" s="131" t="s">
        <v>59</v>
      </c>
    </row>
    <row r="187" spans="1:7" ht="15" customHeight="1">
      <c r="A187" s="137" t="s">
        <v>9</v>
      </c>
      <c r="B187" s="491" t="s">
        <v>179</v>
      </c>
      <c r="C187" s="491"/>
      <c r="D187" s="137" t="s">
        <v>180</v>
      </c>
      <c r="E187" s="154">
        <v>1</v>
      </c>
      <c r="F187" s="154"/>
      <c r="G187" s="154">
        <f>E187*F187</f>
        <v>0</v>
      </c>
    </row>
    <row r="188" spans="1:7" ht="15" customHeight="1">
      <c r="A188" s="137" t="s">
        <v>45</v>
      </c>
      <c r="B188" s="491" t="s">
        <v>181</v>
      </c>
      <c r="C188" s="491"/>
      <c r="D188" s="137" t="s">
        <v>180</v>
      </c>
      <c r="E188" s="154">
        <v>1</v>
      </c>
      <c r="F188" s="154"/>
      <c r="G188" s="154">
        <f>E188*F188</f>
        <v>0</v>
      </c>
    </row>
    <row r="189" spans="1:7" ht="15" customHeight="1">
      <c r="A189" s="137" t="s">
        <v>14</v>
      </c>
      <c r="B189" s="491" t="s">
        <v>182</v>
      </c>
      <c r="C189" s="491"/>
      <c r="D189" s="137" t="s">
        <v>180</v>
      </c>
      <c r="E189" s="154">
        <v>1</v>
      </c>
      <c r="F189" s="154"/>
      <c r="G189" s="154">
        <f>E189*F189</f>
        <v>0</v>
      </c>
    </row>
    <row r="190" spans="1:7" ht="15" customHeight="1">
      <c r="A190" s="137"/>
      <c r="B190" s="493" t="s">
        <v>183</v>
      </c>
      <c r="C190" s="494"/>
      <c r="D190" s="137"/>
      <c r="E190" s="137"/>
      <c r="F190" s="137"/>
      <c r="G190" s="140">
        <f>SUM(G187:G189)</f>
        <v>0</v>
      </c>
    </row>
    <row r="191" ht="14.25">
      <c r="A191" s="121"/>
    </row>
    <row r="192" ht="14.25">
      <c r="A192" s="121"/>
    </row>
    <row r="193" ht="14.25">
      <c r="A193" s="121" t="s">
        <v>184</v>
      </c>
    </row>
    <row r="194" ht="15" thickBot="1">
      <c r="A194" s="121"/>
    </row>
    <row r="195" spans="1:7" ht="28.5" customHeight="1">
      <c r="A195" s="149" t="s">
        <v>37</v>
      </c>
      <c r="B195" s="503" t="s">
        <v>38</v>
      </c>
      <c r="C195" s="504"/>
      <c r="D195" s="130" t="s">
        <v>39</v>
      </c>
      <c r="E195" s="131" t="s">
        <v>210</v>
      </c>
      <c r="F195" s="168" t="s">
        <v>58</v>
      </c>
      <c r="G195" s="168" t="s">
        <v>59</v>
      </c>
    </row>
    <row r="196" spans="1:7" ht="15" customHeight="1">
      <c r="A196" s="137" t="s">
        <v>9</v>
      </c>
      <c r="B196" s="491" t="s">
        <v>185</v>
      </c>
      <c r="C196" s="491"/>
      <c r="D196" s="137" t="s">
        <v>85</v>
      </c>
      <c r="E196" s="154">
        <v>0.5</v>
      </c>
      <c r="F196" s="169">
        <v>32.6</v>
      </c>
      <c r="G196" s="170">
        <f>E196*F196</f>
        <v>16.3</v>
      </c>
    </row>
    <row r="197" spans="1:7" ht="14.25" customHeight="1">
      <c r="A197" s="137" t="s">
        <v>45</v>
      </c>
      <c r="B197" s="491" t="s">
        <v>186</v>
      </c>
      <c r="C197" s="491"/>
      <c r="D197" s="137" t="s">
        <v>85</v>
      </c>
      <c r="E197" s="171"/>
      <c r="F197" s="44">
        <f>(1151.55+210.41+5.7+145.58)*1.2</f>
        <v>1815.888</v>
      </c>
      <c r="G197" s="156">
        <f>F197*E196</f>
        <v>907.944</v>
      </c>
    </row>
    <row r="198" spans="1:7" ht="14.25" customHeight="1">
      <c r="A198" s="137" t="s">
        <v>14</v>
      </c>
      <c r="B198" s="491" t="s">
        <v>187</v>
      </c>
      <c r="C198" s="491"/>
      <c r="D198" s="137" t="s">
        <v>85</v>
      </c>
      <c r="E198" s="171"/>
      <c r="F198" s="171"/>
      <c r="G198" s="171"/>
    </row>
    <row r="199" spans="1:7" ht="14.25">
      <c r="A199" s="137" t="s">
        <v>49</v>
      </c>
      <c r="B199" s="491" t="s">
        <v>188</v>
      </c>
      <c r="C199" s="491"/>
      <c r="D199" s="137" t="s">
        <v>85</v>
      </c>
      <c r="E199" s="171"/>
      <c r="F199" s="171"/>
      <c r="G199" s="171"/>
    </row>
    <row r="200" spans="1:7" ht="15" customHeight="1">
      <c r="A200" s="137" t="s">
        <v>19</v>
      </c>
      <c r="B200" s="491" t="s">
        <v>189</v>
      </c>
      <c r="C200" s="491"/>
      <c r="D200" s="137" t="s">
        <v>85</v>
      </c>
      <c r="E200" s="171"/>
      <c r="F200" s="171"/>
      <c r="G200" s="171"/>
    </row>
    <row r="201" spans="1:10" ht="15" customHeight="1">
      <c r="A201" s="137" t="s">
        <v>54</v>
      </c>
      <c r="B201" s="491" t="s">
        <v>190</v>
      </c>
      <c r="C201" s="491"/>
      <c r="D201" s="137" t="s">
        <v>101</v>
      </c>
      <c r="E201" s="241">
        <f>J201/F201</f>
        <v>18.074825033505</v>
      </c>
      <c r="F201" s="43">
        <v>1.68</v>
      </c>
      <c r="G201" s="240">
        <f>E201*F201</f>
        <v>30.3657060562884</v>
      </c>
      <c r="H201" s="54"/>
      <c r="I201" s="448">
        <f>1288300*0.4/8485.23</f>
        <v>60.7314121125768</v>
      </c>
      <c r="J201" s="448">
        <f>I201*E196</f>
        <v>30.3657060562884</v>
      </c>
    </row>
    <row r="202" spans="1:10" ht="15" customHeight="1">
      <c r="A202" s="137" t="s">
        <v>22</v>
      </c>
      <c r="B202" s="491" t="s">
        <v>191</v>
      </c>
      <c r="C202" s="491"/>
      <c r="D202" s="137" t="s">
        <v>192</v>
      </c>
      <c r="E202" s="446">
        <f>J202/F202</f>
        <v>0.10058302620539868</v>
      </c>
      <c r="F202" s="43">
        <f>987*1.2</f>
        <v>1184.3999999999999</v>
      </c>
      <c r="G202" s="240">
        <f>E202*F202</f>
        <v>119.13053623767418</v>
      </c>
      <c r="H202" s="54"/>
      <c r="I202" s="448">
        <f>2021700/8485.23</f>
        <v>238.26107247534836</v>
      </c>
      <c r="J202" s="448">
        <f>I202*E196</f>
        <v>119.13053623767418</v>
      </c>
    </row>
    <row r="203" spans="1:10" ht="15" customHeight="1">
      <c r="A203" s="137" t="s">
        <v>72</v>
      </c>
      <c r="B203" s="491" t="s">
        <v>193</v>
      </c>
      <c r="C203" s="491"/>
      <c r="D203" s="137" t="s">
        <v>85</v>
      </c>
      <c r="E203" s="447"/>
      <c r="F203" s="241">
        <f>(229000+16300)/8485.23</f>
        <v>28.909057267746427</v>
      </c>
      <c r="G203" s="240">
        <f>F203*E196</f>
        <v>14.454528633873213</v>
      </c>
      <c r="H203" s="54"/>
      <c r="I203" s="54"/>
      <c r="J203" s="54"/>
    </row>
    <row r="204" spans="1:10" ht="14.25" customHeight="1">
      <c r="A204" s="137" t="s">
        <v>26</v>
      </c>
      <c r="B204" s="491" t="s">
        <v>194</v>
      </c>
      <c r="C204" s="491"/>
      <c r="D204" s="137" t="s">
        <v>85</v>
      </c>
      <c r="E204" s="447"/>
      <c r="F204" s="43">
        <v>2693.4</v>
      </c>
      <c r="G204" s="240">
        <f>F204*E196</f>
        <v>1346.7</v>
      </c>
      <c r="H204" s="54"/>
      <c r="I204" s="54"/>
      <c r="J204" s="54"/>
    </row>
    <row r="205" spans="1:10" ht="15" customHeight="1">
      <c r="A205" s="137" t="s">
        <v>31</v>
      </c>
      <c r="B205" s="491" t="s">
        <v>195</v>
      </c>
      <c r="C205" s="491"/>
      <c r="D205" s="137" t="s">
        <v>85</v>
      </c>
      <c r="E205" s="447"/>
      <c r="F205" s="43">
        <v>300.6</v>
      </c>
      <c r="G205" s="240">
        <f>F205*E196</f>
        <v>150.3</v>
      </c>
      <c r="H205" s="54"/>
      <c r="I205" s="54"/>
      <c r="J205" s="54"/>
    </row>
    <row r="206" spans="1:10" ht="15" customHeight="1">
      <c r="A206" s="137" t="s">
        <v>79</v>
      </c>
      <c r="B206" s="491" t="s">
        <v>196</v>
      </c>
      <c r="C206" s="491"/>
      <c r="D206" s="137" t="s">
        <v>85</v>
      </c>
      <c r="E206" s="447"/>
      <c r="F206" s="43">
        <v>1242.8</v>
      </c>
      <c r="G206" s="240">
        <f>F206*E196</f>
        <v>621.4</v>
      </c>
      <c r="H206" s="54"/>
      <c r="I206" s="54"/>
      <c r="J206" s="54"/>
    </row>
    <row r="207" ht="14.25">
      <c r="A207" s="121"/>
    </row>
    <row r="208" ht="14.25">
      <c r="A208" s="121" t="s">
        <v>197</v>
      </c>
    </row>
    <row r="209" ht="15" thickBot="1">
      <c r="A209" s="129"/>
    </row>
    <row r="210" spans="1:7" ht="14.25" customHeight="1">
      <c r="A210" s="497" t="s">
        <v>37</v>
      </c>
      <c r="B210" s="503" t="s">
        <v>38</v>
      </c>
      <c r="C210" s="504"/>
      <c r="D210" s="130" t="s">
        <v>198</v>
      </c>
      <c r="E210" s="503" t="s">
        <v>59</v>
      </c>
      <c r="F210" s="512"/>
      <c r="G210" s="504"/>
    </row>
    <row r="211" spans="1:7" ht="14.25">
      <c r="A211" s="502"/>
      <c r="B211" s="505"/>
      <c r="C211" s="506"/>
      <c r="D211" s="166" t="s">
        <v>199</v>
      </c>
      <c r="E211" s="505"/>
      <c r="F211" s="513"/>
      <c r="G211" s="506"/>
    </row>
    <row r="212" spans="1:7" ht="15" customHeight="1">
      <c r="A212" s="137" t="s">
        <v>9</v>
      </c>
      <c r="B212" s="491" t="s">
        <v>200</v>
      </c>
      <c r="C212" s="491"/>
      <c r="D212" s="137" t="s">
        <v>85</v>
      </c>
      <c r="E212" s="515">
        <f>G44+G59+G63+G64+G97+G118+G130+G143+G158+G166+G182+G190</f>
        <v>8442.582086908102</v>
      </c>
      <c r="F212" s="516"/>
      <c r="G212" s="516"/>
    </row>
    <row r="213" spans="1:7" ht="15" customHeight="1">
      <c r="A213" s="137" t="s">
        <v>45</v>
      </c>
      <c r="B213" s="491" t="s">
        <v>201</v>
      </c>
      <c r="C213" s="491"/>
      <c r="D213" s="137" t="s">
        <v>85</v>
      </c>
      <c r="E213" s="515">
        <f>SUM(G196:G206)</f>
        <v>3206.594770927836</v>
      </c>
      <c r="F213" s="515"/>
      <c r="G213" s="515"/>
    </row>
    <row r="214" spans="1:7" ht="14.25">
      <c r="A214" s="137" t="s">
        <v>14</v>
      </c>
      <c r="B214" s="491" t="s">
        <v>202</v>
      </c>
      <c r="C214" s="491"/>
      <c r="D214" s="137" t="s">
        <v>85</v>
      </c>
      <c r="E214" s="515">
        <f>SUM(E212:G213)</f>
        <v>11649.176857835937</v>
      </c>
      <c r="F214" s="516"/>
      <c r="G214" s="516"/>
    </row>
    <row r="215" spans="1:7" ht="15" customHeight="1">
      <c r="A215" s="137">
        <v>4</v>
      </c>
      <c r="B215" s="491" t="s">
        <v>203</v>
      </c>
      <c r="C215" s="491"/>
      <c r="D215" s="137" t="s">
        <v>85</v>
      </c>
      <c r="E215" s="511"/>
      <c r="F215" s="511"/>
      <c r="G215" s="511"/>
    </row>
    <row r="216" spans="1:7" ht="15" customHeight="1">
      <c r="A216" s="137" t="s">
        <v>19</v>
      </c>
      <c r="B216" s="491" t="s">
        <v>204</v>
      </c>
      <c r="C216" s="491"/>
      <c r="D216" s="137" t="s">
        <v>85</v>
      </c>
      <c r="E216" s="514">
        <f>E214-E215</f>
        <v>11649.176857835937</v>
      </c>
      <c r="F216" s="514"/>
      <c r="G216" s="514"/>
    </row>
    <row r="217" ht="14.25">
      <c r="A217" s="148"/>
    </row>
    <row r="218" ht="14.25">
      <c r="A218" s="148"/>
    </row>
    <row r="219" spans="2:3" ht="14.25">
      <c r="B219" s="172" t="s">
        <v>63</v>
      </c>
      <c r="C219" s="119" t="s">
        <v>205</v>
      </c>
    </row>
    <row r="220" ht="14.25">
      <c r="A220" s="148"/>
    </row>
    <row r="221" ht="14.25">
      <c r="B221" s="172" t="s">
        <v>206</v>
      </c>
    </row>
  </sheetData>
  <sheetProtection/>
  <mergeCells count="165">
    <mergeCell ref="B97:C97"/>
    <mergeCell ref="B130:C130"/>
    <mergeCell ref="B182:C182"/>
    <mergeCell ref="A7:G7"/>
    <mergeCell ref="A8:G8"/>
    <mergeCell ref="A9:G9"/>
    <mergeCell ref="B27:G27"/>
    <mergeCell ref="D24:E24"/>
    <mergeCell ref="F16:G16"/>
    <mergeCell ref="F18:G18"/>
    <mergeCell ref="B67:C67"/>
    <mergeCell ref="B62:C62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16:G216"/>
    <mergeCell ref="B210:C211"/>
    <mergeCell ref="B212:C212"/>
    <mergeCell ref="B213:C213"/>
    <mergeCell ref="B214:C214"/>
    <mergeCell ref="B215:C215"/>
    <mergeCell ref="B216:C216"/>
    <mergeCell ref="E212:G212"/>
    <mergeCell ref="E213:G213"/>
    <mergeCell ref="E214:G214"/>
    <mergeCell ref="B203:C203"/>
    <mergeCell ref="E215:G215"/>
    <mergeCell ref="B204:C204"/>
    <mergeCell ref="B205:C205"/>
    <mergeCell ref="B206:C206"/>
    <mergeCell ref="E210:G211"/>
    <mergeCell ref="B197:C197"/>
    <mergeCell ref="B198:C198"/>
    <mergeCell ref="B199:C199"/>
    <mergeCell ref="B200:C200"/>
    <mergeCell ref="B201:C201"/>
    <mergeCell ref="B202:C202"/>
    <mergeCell ref="B165:C165"/>
    <mergeCell ref="B166:C166"/>
    <mergeCell ref="B170:C170"/>
    <mergeCell ref="B172:C172"/>
    <mergeCell ref="B186:C186"/>
    <mergeCell ref="B195:C195"/>
    <mergeCell ref="B190:C190"/>
    <mergeCell ref="B179:C179"/>
    <mergeCell ref="B180:C180"/>
    <mergeCell ref="B181:C181"/>
    <mergeCell ref="B187:C187"/>
    <mergeCell ref="B188:C188"/>
    <mergeCell ref="B196:C196"/>
    <mergeCell ref="B174:C174"/>
    <mergeCell ref="B189:C189"/>
    <mergeCell ref="B158:C158"/>
    <mergeCell ref="B157:C157"/>
    <mergeCell ref="B156:C156"/>
    <mergeCell ref="B173:C173"/>
    <mergeCell ref="B176:C176"/>
    <mergeCell ref="B177:C177"/>
    <mergeCell ref="B178:C178"/>
    <mergeCell ref="B175:C175"/>
    <mergeCell ref="B171:C171"/>
    <mergeCell ref="B143:C143"/>
    <mergeCell ref="B149:C149"/>
    <mergeCell ref="B148:C148"/>
    <mergeCell ref="B139:C139"/>
    <mergeCell ref="B140:C140"/>
    <mergeCell ref="B142:C142"/>
    <mergeCell ref="B75:C75"/>
    <mergeCell ref="B76:C76"/>
    <mergeCell ref="B77:C77"/>
    <mergeCell ref="B78:C78"/>
    <mergeCell ref="B91:C91"/>
    <mergeCell ref="A82:C82"/>
    <mergeCell ref="A83:C83"/>
    <mergeCell ref="B90:C90"/>
    <mergeCell ref="B155:C155"/>
    <mergeCell ref="B154:C154"/>
    <mergeCell ref="B153:C153"/>
    <mergeCell ref="B150:C150"/>
    <mergeCell ref="B151:C151"/>
    <mergeCell ref="B152:C152"/>
    <mergeCell ref="A68:C68"/>
    <mergeCell ref="D136:G136"/>
    <mergeCell ref="B86:C86"/>
    <mergeCell ref="B84:C84"/>
    <mergeCell ref="B85:C85"/>
    <mergeCell ref="A87:C87"/>
    <mergeCell ref="A88:C88"/>
    <mergeCell ref="A93:C93"/>
    <mergeCell ref="B105:C105"/>
    <mergeCell ref="B106:C106"/>
    <mergeCell ref="B111:C111"/>
    <mergeCell ref="A47:A48"/>
    <mergeCell ref="D135:G135"/>
    <mergeCell ref="F47:F48"/>
    <mergeCell ref="G47:G48"/>
    <mergeCell ref="B80:C80"/>
    <mergeCell ref="B81:C81"/>
    <mergeCell ref="B70:C70"/>
    <mergeCell ref="B71:C71"/>
    <mergeCell ref="A69:C69"/>
    <mergeCell ref="A210:A211"/>
    <mergeCell ref="B124:C124"/>
    <mergeCell ref="B125:C125"/>
    <mergeCell ref="B126:C126"/>
    <mergeCell ref="B127:C127"/>
    <mergeCell ref="B128:C128"/>
    <mergeCell ref="B141:C141"/>
    <mergeCell ref="A162:A163"/>
    <mergeCell ref="B162:C163"/>
    <mergeCell ref="B164:C164"/>
    <mergeCell ref="A33:A34"/>
    <mergeCell ref="B44:C44"/>
    <mergeCell ref="B63:C63"/>
    <mergeCell ref="B64:C64"/>
    <mergeCell ref="A40:A43"/>
    <mergeCell ref="B36:C36"/>
    <mergeCell ref="B37:C37"/>
    <mergeCell ref="B38:C38"/>
    <mergeCell ref="B39:C39"/>
    <mergeCell ref="B40:C40"/>
    <mergeCell ref="B107:C107"/>
    <mergeCell ref="B108:C108"/>
    <mergeCell ref="B109:C109"/>
    <mergeCell ref="B96:C96"/>
    <mergeCell ref="B72:C72"/>
    <mergeCell ref="B73:C73"/>
    <mergeCell ref="B79:C79"/>
    <mergeCell ref="B89:C89"/>
    <mergeCell ref="B94:C94"/>
    <mergeCell ref="B74:C74"/>
    <mergeCell ref="B112:C112"/>
    <mergeCell ref="B113:C113"/>
    <mergeCell ref="B114:C114"/>
    <mergeCell ref="B115:C115"/>
    <mergeCell ref="B110:C110"/>
    <mergeCell ref="B95:C95"/>
    <mergeCell ref="B102:C102"/>
    <mergeCell ref="B103:C103"/>
    <mergeCell ref="B104:C104"/>
    <mergeCell ref="B101:C101"/>
    <mergeCell ref="B135:C135"/>
    <mergeCell ref="B136:C136"/>
    <mergeCell ref="B137:C137"/>
    <mergeCell ref="B138:C138"/>
    <mergeCell ref="B116:C116"/>
    <mergeCell ref="B117:C117"/>
    <mergeCell ref="B123:C123"/>
    <mergeCell ref="B134:C134"/>
    <mergeCell ref="B118:C118"/>
    <mergeCell ref="B129:C129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236"/>
  <sheetViews>
    <sheetView zoomScalePageLayoutView="0" workbookViewId="0" topLeftCell="A198">
      <selection activeCell="E227" sqref="E227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489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469</v>
      </c>
      <c r="D16" s="668" t="s">
        <v>17</v>
      </c>
      <c r="E16" s="669"/>
      <c r="F16" s="668" t="s">
        <v>359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1</v>
      </c>
      <c r="D18" s="668" t="s">
        <v>21</v>
      </c>
      <c r="E18" s="669"/>
      <c r="F18" s="668" t="s">
        <v>359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490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470</v>
      </c>
      <c r="D22" s="251" t="s">
        <v>29</v>
      </c>
      <c r="E22" s="252"/>
      <c r="F22" s="676" t="s">
        <v>471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491</v>
      </c>
      <c r="D24" s="672"/>
      <c r="E24" s="672"/>
      <c r="F24" s="672"/>
      <c r="G24" s="673"/>
    </row>
    <row r="25" spans="1:7" ht="14.25">
      <c r="A25" s="253"/>
      <c r="B25" s="670"/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9" ht="15" customHeight="1">
      <c r="A34" s="260" t="s">
        <v>9</v>
      </c>
      <c r="B34" s="633" t="s">
        <v>492</v>
      </c>
      <c r="C34" s="633"/>
      <c r="D34" s="260" t="s">
        <v>43</v>
      </c>
      <c r="E34" s="261" t="s">
        <v>496</v>
      </c>
      <c r="F34" s="262">
        <f>(F50+43.34)/2</f>
        <v>41.37149253731343</v>
      </c>
      <c r="G34" s="263">
        <f>20*F34*2</f>
        <v>1654.8597014925372</v>
      </c>
      <c r="I34" s="325" t="s">
        <v>501</v>
      </c>
    </row>
    <row r="35" spans="1:9" ht="15" customHeight="1">
      <c r="A35" s="260" t="s">
        <v>45</v>
      </c>
      <c r="B35" s="633" t="s">
        <v>493</v>
      </c>
      <c r="C35" s="633"/>
      <c r="D35" s="260" t="s">
        <v>43</v>
      </c>
      <c r="E35" s="261" t="s">
        <v>496</v>
      </c>
      <c r="F35" s="262">
        <f>(F50+43.34)/2</f>
        <v>41.37149253731343</v>
      </c>
      <c r="G35" s="263">
        <f>20*F35*2</f>
        <v>1654.8597014925372</v>
      </c>
      <c r="I35" s="325"/>
    </row>
    <row r="36" spans="1:7" ht="15" customHeight="1">
      <c r="A36" s="260" t="s">
        <v>14</v>
      </c>
      <c r="B36" s="633" t="s">
        <v>494</v>
      </c>
      <c r="C36" s="633"/>
      <c r="D36" s="260" t="s">
        <v>43</v>
      </c>
      <c r="E36" s="261" t="s">
        <v>264</v>
      </c>
      <c r="F36" s="262">
        <f>(F50+43.34)/2</f>
        <v>41.37149253731343</v>
      </c>
      <c r="G36" s="263">
        <f>3*F36*2</f>
        <v>248.22895522388058</v>
      </c>
    </row>
    <row r="37" spans="1:7" ht="15" customHeight="1">
      <c r="A37" s="260" t="s">
        <v>49</v>
      </c>
      <c r="B37" s="633" t="s">
        <v>495</v>
      </c>
      <c r="C37" s="633"/>
      <c r="D37" s="260" t="s">
        <v>43</v>
      </c>
      <c r="E37" s="261" t="s">
        <v>264</v>
      </c>
      <c r="F37" s="262">
        <f>(F50+43.34)/2</f>
        <v>41.37149253731343</v>
      </c>
      <c r="G37" s="263">
        <f>3*F37*2</f>
        <v>248.22895522388058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>E38*F38</f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>E39*F39</f>
        <v>0</v>
      </c>
    </row>
    <row r="40" spans="1:7" ht="15.75" customHeight="1">
      <c r="A40" s="639"/>
      <c r="B40" s="664"/>
      <c r="C40" s="665"/>
      <c r="D40" s="264"/>
      <c r="E40" s="269"/>
      <c r="F40" s="266"/>
      <c r="G40" s="334">
        <f>E40*F40</f>
        <v>0</v>
      </c>
    </row>
    <row r="41" spans="1:7" ht="14.25">
      <c r="A41" s="639"/>
      <c r="B41" s="270"/>
      <c r="C41" s="271"/>
      <c r="D41" s="264"/>
      <c r="E41" s="272"/>
      <c r="F41" s="266"/>
      <c r="G41" s="273">
        <f>E41*F41</f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3806.177313432836</v>
      </c>
    </row>
    <row r="43" ht="14.25">
      <c r="A43" s="254"/>
    </row>
    <row r="44" ht="14.25">
      <c r="A44" s="254"/>
    </row>
    <row r="45" ht="14.25">
      <c r="A45" s="254"/>
    </row>
    <row r="46" ht="15" thickBot="1">
      <c r="A46" s="254" t="s">
        <v>56</v>
      </c>
    </row>
    <row r="47" spans="1:7" ht="27.75" customHeight="1" thickBot="1">
      <c r="A47" s="637" t="s">
        <v>37</v>
      </c>
      <c r="B47" s="652" t="s">
        <v>57</v>
      </c>
      <c r="C47" s="666"/>
      <c r="D47" s="642" t="s">
        <v>39</v>
      </c>
      <c r="E47" s="642" t="s">
        <v>207</v>
      </c>
      <c r="F47" s="637" t="s">
        <v>58</v>
      </c>
      <c r="G47" s="643" t="s">
        <v>59</v>
      </c>
    </row>
    <row r="48" spans="1:7" ht="15" customHeight="1" thickBot="1">
      <c r="A48" s="638"/>
      <c r="B48" s="274" t="s">
        <v>60</v>
      </c>
      <c r="C48" s="275" t="s">
        <v>61</v>
      </c>
      <c r="D48" s="644"/>
      <c r="E48" s="644"/>
      <c r="F48" s="638"/>
      <c r="G48" s="645"/>
    </row>
    <row r="49" spans="1:7" ht="14.25" customHeight="1">
      <c r="A49" s="272">
        <v>1</v>
      </c>
      <c r="B49" s="326" t="s">
        <v>62</v>
      </c>
      <c r="C49" s="326" t="s">
        <v>258</v>
      </c>
      <c r="D49" s="272" t="s">
        <v>43</v>
      </c>
      <c r="E49" s="272">
        <v>3</v>
      </c>
      <c r="F49" s="86">
        <f>6600*12/2010</f>
        <v>39.40298507462686</v>
      </c>
      <c r="G49" s="281">
        <f>E49*F49</f>
        <v>118.2089552238806</v>
      </c>
    </row>
    <row r="50" spans="1:7" ht="15" customHeight="1">
      <c r="A50" s="260">
        <v>2</v>
      </c>
      <c r="B50" s="276" t="s">
        <v>63</v>
      </c>
      <c r="C50" s="326" t="s">
        <v>258</v>
      </c>
      <c r="D50" s="260" t="s">
        <v>43</v>
      </c>
      <c r="E50" s="261" t="s">
        <v>312</v>
      </c>
      <c r="F50" s="86">
        <f>6600*12/2010</f>
        <v>39.40298507462686</v>
      </c>
      <c r="G50" s="281">
        <f>E50*F50</f>
        <v>472.8358208955224</v>
      </c>
    </row>
    <row r="51" spans="1:7" ht="15" customHeight="1">
      <c r="A51" s="260">
        <v>3</v>
      </c>
      <c r="B51" s="276" t="s">
        <v>65</v>
      </c>
      <c r="C51" s="338" t="s">
        <v>395</v>
      </c>
      <c r="D51" s="260" t="s">
        <v>43</v>
      </c>
      <c r="E51" s="261" t="s">
        <v>312</v>
      </c>
      <c r="F51" s="339"/>
      <c r="G51" s="263"/>
    </row>
    <row r="52" spans="1:9" ht="15" customHeight="1">
      <c r="A52" s="260">
        <v>4</v>
      </c>
      <c r="B52" s="276" t="s">
        <v>67</v>
      </c>
      <c r="C52" s="276" t="s">
        <v>497</v>
      </c>
      <c r="D52" s="260" t="s">
        <v>43</v>
      </c>
      <c r="E52" s="261" t="s">
        <v>312</v>
      </c>
      <c r="F52" s="315">
        <f>4382*12/2010</f>
        <v>26.161194029850748</v>
      </c>
      <c r="G52" s="316">
        <f>E52*F52*8</f>
        <v>2511.474626865672</v>
      </c>
      <c r="H52" s="317"/>
      <c r="I52" s="318" t="s">
        <v>413</v>
      </c>
    </row>
    <row r="53" spans="1:7" ht="15" customHeight="1">
      <c r="A53" s="260">
        <v>5</v>
      </c>
      <c r="B53" s="276" t="s">
        <v>260</v>
      </c>
      <c r="C53" s="276" t="s">
        <v>395</v>
      </c>
      <c r="D53" s="260" t="s">
        <v>43</v>
      </c>
      <c r="E53" s="261" t="s">
        <v>410</v>
      </c>
      <c r="F53" s="339"/>
      <c r="G53" s="263">
        <f>E53*F53</f>
        <v>0</v>
      </c>
    </row>
    <row r="54" spans="1:7" ht="15" customHeight="1">
      <c r="A54" s="260">
        <v>6</v>
      </c>
      <c r="B54" s="276" t="s">
        <v>70</v>
      </c>
      <c r="C54" s="276" t="s">
        <v>498</v>
      </c>
      <c r="D54" s="260" t="s">
        <v>43</v>
      </c>
      <c r="E54" s="261" t="s">
        <v>312</v>
      </c>
      <c r="F54" s="262">
        <f>(7260+5120)*12/4020</f>
        <v>36.95522388059702</v>
      </c>
      <c r="G54" s="263">
        <f>E54*F54</f>
        <v>443.4626865671642</v>
      </c>
    </row>
    <row r="55" spans="1:9" ht="15" customHeight="1">
      <c r="A55" s="260">
        <v>7</v>
      </c>
      <c r="B55" s="276" t="s">
        <v>73</v>
      </c>
      <c r="C55" s="276" t="s">
        <v>394</v>
      </c>
      <c r="D55" s="260" t="s">
        <v>43</v>
      </c>
      <c r="E55" s="261" t="s">
        <v>312</v>
      </c>
      <c r="F55" s="315">
        <f>3901*12/2010</f>
        <v>23.28955223880597</v>
      </c>
      <c r="G55" s="316">
        <f>E55*F55*2</f>
        <v>558.9492537313433</v>
      </c>
      <c r="H55" s="317"/>
      <c r="I55" s="318" t="s">
        <v>412</v>
      </c>
    </row>
    <row r="56" spans="1:9" ht="15" customHeight="1">
      <c r="A56" s="260">
        <v>8</v>
      </c>
      <c r="B56" s="276" t="s">
        <v>75</v>
      </c>
      <c r="C56" s="276" t="s">
        <v>394</v>
      </c>
      <c r="D56" s="260" t="s">
        <v>43</v>
      </c>
      <c r="E56" s="261" t="s">
        <v>312</v>
      </c>
      <c r="F56" s="315">
        <f>3301*12/2010</f>
        <v>19.707462686567165</v>
      </c>
      <c r="G56" s="316">
        <f>E56*F56*2</f>
        <v>472.97910447761194</v>
      </c>
      <c r="H56" s="317"/>
      <c r="I56" s="318" t="s">
        <v>485</v>
      </c>
    </row>
    <row r="57" spans="1:9" ht="15" customHeight="1">
      <c r="A57" s="260">
        <v>9</v>
      </c>
      <c r="B57" s="276" t="s">
        <v>263</v>
      </c>
      <c r="C57" s="276" t="s">
        <v>395</v>
      </c>
      <c r="D57" s="260" t="s">
        <v>43</v>
      </c>
      <c r="E57" s="261" t="s">
        <v>344</v>
      </c>
      <c r="F57" s="315">
        <f>3061*12/2010</f>
        <v>18.274626865671642</v>
      </c>
      <c r="G57" s="316">
        <f>E57*F57</f>
        <v>127.92238805970149</v>
      </c>
      <c r="H57" s="317"/>
      <c r="I57" s="318" t="s">
        <v>411</v>
      </c>
    </row>
    <row r="58" spans="1:9" ht="15" customHeight="1">
      <c r="A58" s="260">
        <v>10</v>
      </c>
      <c r="B58" s="276" t="s">
        <v>80</v>
      </c>
      <c r="C58" s="276" t="s">
        <v>395</v>
      </c>
      <c r="D58" s="260" t="s">
        <v>43</v>
      </c>
      <c r="E58" s="261" t="s">
        <v>312</v>
      </c>
      <c r="F58" s="315">
        <f>2890*12/2010</f>
        <v>17.253731343283583</v>
      </c>
      <c r="G58" s="263">
        <f>E58*F58</f>
        <v>207.044776119403</v>
      </c>
      <c r="I58" s="325" t="s">
        <v>450</v>
      </c>
    </row>
    <row r="59" spans="1:7" ht="15" customHeight="1">
      <c r="A59" s="260"/>
      <c r="B59" s="276" t="s">
        <v>82</v>
      </c>
      <c r="C59" s="276"/>
      <c r="D59" s="260"/>
      <c r="E59" s="261"/>
      <c r="F59" s="260"/>
      <c r="G59" s="263">
        <f>SUM(G49:G58)</f>
        <v>4912.877611940299</v>
      </c>
    </row>
    <row r="60" ht="15" customHeight="1">
      <c r="A60" s="278"/>
    </row>
    <row r="61" ht="15" thickBot="1">
      <c r="A61" s="254" t="s">
        <v>83</v>
      </c>
    </row>
    <row r="62" spans="1:7" ht="28.5" customHeight="1" thickBot="1">
      <c r="A62" s="279" t="s">
        <v>37</v>
      </c>
      <c r="B62" s="652" t="s">
        <v>38</v>
      </c>
      <c r="C62" s="653"/>
      <c r="D62" s="280" t="s">
        <v>39</v>
      </c>
      <c r="E62" s="280" t="s">
        <v>207</v>
      </c>
      <c r="F62" s="280" t="s">
        <v>58</v>
      </c>
      <c r="G62" s="280" t="s">
        <v>59</v>
      </c>
    </row>
    <row r="63" spans="1:7" ht="15" customHeight="1">
      <c r="A63" s="272" t="s">
        <v>9</v>
      </c>
      <c r="B63" s="634" t="s">
        <v>84</v>
      </c>
      <c r="C63" s="634"/>
      <c r="D63" s="272" t="s">
        <v>85</v>
      </c>
      <c r="E63" s="259"/>
      <c r="F63" s="259"/>
      <c r="G63" s="281">
        <f>(G42+G59)*0.23</f>
        <v>2005.3826328358211</v>
      </c>
    </row>
    <row r="64" spans="1:7" ht="15" customHeight="1">
      <c r="A64" s="260" t="s">
        <v>45</v>
      </c>
      <c r="B64" s="633" t="s">
        <v>86</v>
      </c>
      <c r="C64" s="633"/>
      <c r="D64" s="260" t="s">
        <v>85</v>
      </c>
      <c r="E64" s="283"/>
      <c r="F64" s="283"/>
      <c r="G64" s="263">
        <f>(G42+G59)*0.035</f>
        <v>305.16692238805973</v>
      </c>
    </row>
    <row r="65" ht="18" customHeight="1">
      <c r="A65" s="278"/>
    </row>
    <row r="66" ht="15" thickBot="1">
      <c r="A66" s="254" t="s">
        <v>87</v>
      </c>
    </row>
    <row r="67" spans="1:7" ht="27" customHeight="1" thickBot="1">
      <c r="A67" s="256" t="s">
        <v>37</v>
      </c>
      <c r="B67" s="642" t="s">
        <v>38</v>
      </c>
      <c r="C67" s="643"/>
      <c r="D67" s="255" t="s">
        <v>39</v>
      </c>
      <c r="E67" s="284" t="s">
        <v>207</v>
      </c>
      <c r="F67" s="256" t="s">
        <v>58</v>
      </c>
      <c r="G67" s="256" t="s">
        <v>59</v>
      </c>
    </row>
    <row r="68" spans="1:7" ht="15" customHeight="1">
      <c r="A68" s="650"/>
      <c r="B68" s="650"/>
      <c r="C68" s="650"/>
      <c r="D68" s="285"/>
      <c r="E68" s="285"/>
      <c r="F68" s="286"/>
      <c r="G68" s="286"/>
    </row>
    <row r="69" spans="1:7" ht="14.25">
      <c r="A69" s="649" t="s">
        <v>88</v>
      </c>
      <c r="B69" s="649"/>
      <c r="C69" s="649"/>
      <c r="D69" s="264"/>
      <c r="E69" s="264"/>
      <c r="F69" s="266"/>
      <c r="G69" s="266"/>
    </row>
    <row r="70" spans="1:7" ht="15" customHeight="1">
      <c r="A70" s="288" t="s">
        <v>9</v>
      </c>
      <c r="B70" s="633" t="s">
        <v>313</v>
      </c>
      <c r="C70" s="633"/>
      <c r="D70" s="260"/>
      <c r="E70" s="260"/>
      <c r="F70" s="260"/>
      <c r="G70" s="260"/>
    </row>
    <row r="71" spans="1:7" ht="15" customHeight="1">
      <c r="A71" s="288" t="s">
        <v>45</v>
      </c>
      <c r="B71" s="633" t="s">
        <v>90</v>
      </c>
      <c r="C71" s="633"/>
      <c r="D71" s="260" t="s">
        <v>91</v>
      </c>
      <c r="E71" s="260"/>
      <c r="F71" s="260"/>
      <c r="G71" s="260">
        <f>E71*F71</f>
        <v>0</v>
      </c>
    </row>
    <row r="72" spans="1:7" ht="15" customHeight="1">
      <c r="A72" s="288" t="s">
        <v>14</v>
      </c>
      <c r="B72" s="633" t="s">
        <v>92</v>
      </c>
      <c r="C72" s="633"/>
      <c r="D72" s="260" t="s">
        <v>91</v>
      </c>
      <c r="E72" s="260"/>
      <c r="F72" s="260"/>
      <c r="G72" s="263">
        <f>E72*F72</f>
        <v>0</v>
      </c>
    </row>
    <row r="73" spans="1:7" ht="15" customHeight="1">
      <c r="A73" s="288" t="s">
        <v>49</v>
      </c>
      <c r="B73" s="633" t="s">
        <v>93</v>
      </c>
      <c r="C73" s="633"/>
      <c r="D73" s="260" t="s">
        <v>91</v>
      </c>
      <c r="E73" s="260"/>
      <c r="F73" s="260"/>
      <c r="G73" s="263">
        <f>E73*F73</f>
        <v>0</v>
      </c>
    </row>
    <row r="74" spans="1:7" ht="15" customHeight="1">
      <c r="A74" s="288" t="s">
        <v>19</v>
      </c>
      <c r="B74" s="633" t="s">
        <v>396</v>
      </c>
      <c r="C74" s="633"/>
      <c r="D74" s="260"/>
      <c r="E74" s="260"/>
      <c r="F74" s="260"/>
      <c r="G74" s="260"/>
    </row>
    <row r="75" spans="1:7" ht="15" customHeight="1">
      <c r="A75" s="288"/>
      <c r="B75" s="636" t="s">
        <v>95</v>
      </c>
      <c r="C75" s="636"/>
      <c r="D75" s="289" t="s">
        <v>96</v>
      </c>
      <c r="E75" s="289"/>
      <c r="F75" s="289"/>
      <c r="G75" s="289"/>
    </row>
    <row r="76" spans="1:7" ht="15" customHeight="1">
      <c r="A76" s="288"/>
      <c r="B76" s="636" t="s">
        <v>97</v>
      </c>
      <c r="C76" s="636"/>
      <c r="D76" s="289" t="s">
        <v>91</v>
      </c>
      <c r="E76" s="289"/>
      <c r="F76" s="289"/>
      <c r="G76" s="289"/>
    </row>
    <row r="77" spans="1:7" ht="15" customHeight="1">
      <c r="A77" s="288"/>
      <c r="B77" s="636" t="s">
        <v>98</v>
      </c>
      <c r="C77" s="636"/>
      <c r="D77" s="289" t="s">
        <v>85</v>
      </c>
      <c r="E77" s="289"/>
      <c r="F77" s="289"/>
      <c r="G77" s="290">
        <f>E75*E76*F77</f>
        <v>0</v>
      </c>
    </row>
    <row r="78" spans="1:9" ht="15" customHeight="1">
      <c r="A78" s="288" t="s">
        <v>54</v>
      </c>
      <c r="B78" s="633" t="s">
        <v>397</v>
      </c>
      <c r="C78" s="633"/>
      <c r="D78" s="289"/>
      <c r="E78" s="289"/>
      <c r="F78" s="289"/>
      <c r="G78" s="289"/>
      <c r="I78" s="335"/>
    </row>
    <row r="79" spans="1:9" ht="15" customHeight="1">
      <c r="A79" s="288"/>
      <c r="B79" s="636" t="s">
        <v>97</v>
      </c>
      <c r="C79" s="636"/>
      <c r="D79" s="289" t="s">
        <v>91</v>
      </c>
      <c r="E79" s="289"/>
      <c r="F79" s="289"/>
      <c r="G79" s="289"/>
      <c r="I79" s="335"/>
    </row>
    <row r="80" spans="1:9" ht="15" customHeight="1">
      <c r="A80" s="288"/>
      <c r="B80" s="636" t="s">
        <v>100</v>
      </c>
      <c r="C80" s="636"/>
      <c r="D80" s="289" t="s">
        <v>101</v>
      </c>
      <c r="E80" s="292"/>
      <c r="F80" s="289"/>
      <c r="G80" s="290">
        <f>E79*E80*F80</f>
        <v>0</v>
      </c>
      <c r="I80" s="335"/>
    </row>
    <row r="81" spans="1:9" ht="15" customHeight="1">
      <c r="A81" s="288"/>
      <c r="B81" s="636" t="s">
        <v>102</v>
      </c>
      <c r="C81" s="636"/>
      <c r="D81" s="289" t="s">
        <v>91</v>
      </c>
      <c r="E81" s="289"/>
      <c r="F81" s="293"/>
      <c r="G81" s="290">
        <f>E79*F81</f>
        <v>0</v>
      </c>
      <c r="I81" s="336"/>
    </row>
    <row r="82" spans="1:9" ht="14.25" customHeight="1">
      <c r="A82" s="649"/>
      <c r="B82" s="649"/>
      <c r="C82" s="649"/>
      <c r="D82" s="294"/>
      <c r="E82" s="294"/>
      <c r="F82" s="294"/>
      <c r="G82" s="294"/>
      <c r="I82" s="336"/>
    </row>
    <row r="83" spans="1:7" ht="14.25">
      <c r="A83" s="649" t="s">
        <v>398</v>
      </c>
      <c r="B83" s="649"/>
      <c r="C83" s="649"/>
      <c r="D83" s="294"/>
      <c r="E83" s="294"/>
      <c r="F83" s="294"/>
      <c r="G83" s="294"/>
    </row>
    <row r="84" spans="1:7" ht="15" customHeight="1">
      <c r="A84" s="288"/>
      <c r="B84" s="636" t="s">
        <v>399</v>
      </c>
      <c r="C84" s="636"/>
      <c r="D84" s="289" t="s">
        <v>91</v>
      </c>
      <c r="E84" s="289">
        <v>6</v>
      </c>
      <c r="F84" s="289"/>
      <c r="G84" s="289"/>
    </row>
    <row r="85" spans="1:7" ht="15" customHeight="1">
      <c r="A85" s="288"/>
      <c r="B85" s="636" t="s">
        <v>104</v>
      </c>
      <c r="C85" s="636"/>
      <c r="D85" s="289" t="s">
        <v>101</v>
      </c>
      <c r="E85" s="289">
        <v>1.35</v>
      </c>
      <c r="F85" s="289">
        <v>1.68</v>
      </c>
      <c r="G85" s="290">
        <f>E84*E85*F85</f>
        <v>13.608000000000002</v>
      </c>
    </row>
    <row r="86" spans="1:7" ht="14.25" customHeight="1">
      <c r="A86" s="288"/>
      <c r="B86" s="636" t="s">
        <v>105</v>
      </c>
      <c r="C86" s="636"/>
      <c r="D86" s="289" t="s">
        <v>85</v>
      </c>
      <c r="E86" s="289"/>
      <c r="F86" s="289">
        <v>11.8</v>
      </c>
      <c r="G86" s="290">
        <f>E84*F86</f>
        <v>70.80000000000001</v>
      </c>
    </row>
    <row r="87" spans="1:7" ht="15" customHeight="1">
      <c r="A87" s="649"/>
      <c r="B87" s="649"/>
      <c r="C87" s="649"/>
      <c r="D87" s="294"/>
      <c r="E87" s="294"/>
      <c r="F87" s="294"/>
      <c r="G87" s="295"/>
    </row>
    <row r="88" spans="1:7" ht="14.25">
      <c r="A88" s="649" t="s">
        <v>106</v>
      </c>
      <c r="B88" s="649"/>
      <c r="C88" s="649"/>
      <c r="D88" s="294"/>
      <c r="E88" s="294"/>
      <c r="F88" s="294"/>
      <c r="G88" s="295"/>
    </row>
    <row r="89" spans="1:7" ht="15" customHeight="1">
      <c r="A89" s="288"/>
      <c r="B89" s="636" t="s">
        <v>97</v>
      </c>
      <c r="C89" s="636"/>
      <c r="D89" s="289" t="s">
        <v>91</v>
      </c>
      <c r="E89" s="289">
        <v>4</v>
      </c>
      <c r="F89" s="289"/>
      <c r="G89" s="290"/>
    </row>
    <row r="90" spans="1:7" ht="15" customHeight="1">
      <c r="A90" s="288"/>
      <c r="B90" s="636" t="s">
        <v>104</v>
      </c>
      <c r="C90" s="636"/>
      <c r="D90" s="289" t="s">
        <v>101</v>
      </c>
      <c r="E90" s="289">
        <v>0.5</v>
      </c>
      <c r="F90" s="289">
        <v>1.68</v>
      </c>
      <c r="G90" s="290">
        <f>E89*E90*F90</f>
        <v>3.36</v>
      </c>
    </row>
    <row r="91" spans="1:7" ht="14.25" customHeight="1">
      <c r="A91" s="288"/>
      <c r="B91" s="636" t="s">
        <v>107</v>
      </c>
      <c r="C91" s="636"/>
      <c r="D91" s="289" t="s">
        <v>85</v>
      </c>
      <c r="E91" s="289"/>
      <c r="F91" s="289">
        <v>0.6</v>
      </c>
      <c r="G91" s="290">
        <f>E89*F91</f>
        <v>2.4</v>
      </c>
    </row>
    <row r="93" spans="1:7" ht="15.75">
      <c r="A93" s="649" t="s">
        <v>208</v>
      </c>
      <c r="B93" s="649"/>
      <c r="C93" s="649"/>
      <c r="D93" s="264"/>
      <c r="E93" s="264"/>
      <c r="F93" s="266"/>
      <c r="G93" s="266"/>
    </row>
    <row r="94" spans="1:7" ht="14.25">
      <c r="A94" s="287"/>
      <c r="B94" s="287"/>
      <c r="C94" s="287"/>
      <c r="D94" s="264"/>
      <c r="E94" s="264"/>
      <c r="F94" s="266"/>
      <c r="G94" s="266"/>
    </row>
    <row r="95" spans="1:7" ht="18.75" customHeight="1">
      <c r="A95" s="276"/>
      <c r="B95" s="651"/>
      <c r="C95" s="651"/>
      <c r="D95" s="260"/>
      <c r="E95" s="260"/>
      <c r="F95" s="260"/>
      <c r="G95" s="260"/>
    </row>
    <row r="96" spans="1:7" ht="14.25">
      <c r="A96" s="276"/>
      <c r="B96" s="631"/>
      <c r="C96" s="632"/>
      <c r="D96" s="260"/>
      <c r="E96" s="261"/>
      <c r="F96" s="260"/>
      <c r="G96" s="263">
        <f>SUM(G95:G95)</f>
        <v>0</v>
      </c>
    </row>
    <row r="97" spans="1:7" ht="14.25" customHeight="1">
      <c r="A97" s="260"/>
      <c r="B97" s="631" t="s">
        <v>108</v>
      </c>
      <c r="C97" s="632"/>
      <c r="D97" s="260"/>
      <c r="E97" s="261"/>
      <c r="F97" s="260"/>
      <c r="G97" s="263">
        <f>SUM(G71:G96)-1</f>
        <v>89.16800000000002</v>
      </c>
    </row>
    <row r="98" spans="1:7" ht="12.75">
      <c r="A98" s="296"/>
      <c r="B98" s="296"/>
      <c r="C98" s="296"/>
      <c r="D98" s="296"/>
      <c r="E98" s="296"/>
      <c r="F98" s="296"/>
      <c r="G98" s="296"/>
    </row>
    <row r="99" ht="15" thickBot="1">
      <c r="A99" s="254" t="s">
        <v>110</v>
      </c>
    </row>
    <row r="100" spans="1:7" ht="26.25" customHeight="1" thickBot="1">
      <c r="A100" s="279" t="s">
        <v>37</v>
      </c>
      <c r="B100" s="297" t="s">
        <v>38</v>
      </c>
      <c r="C100" s="298"/>
      <c r="D100" s="299" t="s">
        <v>39</v>
      </c>
      <c r="E100" s="280" t="s">
        <v>207</v>
      </c>
      <c r="F100" s="280" t="s">
        <v>58</v>
      </c>
      <c r="G100" s="280" t="s">
        <v>59</v>
      </c>
    </row>
    <row r="101" spans="1:7" ht="15" customHeight="1">
      <c r="A101" s="272" t="s">
        <v>9</v>
      </c>
      <c r="B101" s="634" t="s">
        <v>111</v>
      </c>
      <c r="C101" s="634"/>
      <c r="D101" s="300" t="s">
        <v>91</v>
      </c>
      <c r="E101" s="300">
        <v>16</v>
      </c>
      <c r="F101" s="343">
        <v>10.04</v>
      </c>
      <c r="G101" s="281">
        <f>E101*F101</f>
        <v>160.64</v>
      </c>
    </row>
    <row r="102" spans="1:7" ht="15" customHeight="1">
      <c r="A102" s="260" t="s">
        <v>45</v>
      </c>
      <c r="B102" s="633" t="s">
        <v>112</v>
      </c>
      <c r="C102" s="633"/>
      <c r="D102" s="289" t="s">
        <v>91</v>
      </c>
      <c r="E102" s="289"/>
      <c r="F102" s="292"/>
      <c r="G102" s="260">
        <f>E102*F102</f>
        <v>0</v>
      </c>
    </row>
    <row r="103" spans="1:7" ht="15" customHeight="1">
      <c r="A103" s="260" t="s">
        <v>14</v>
      </c>
      <c r="B103" s="633" t="s">
        <v>113</v>
      </c>
      <c r="C103" s="633"/>
      <c r="D103" s="289" t="s">
        <v>91</v>
      </c>
      <c r="E103" s="289"/>
      <c r="F103" s="292"/>
      <c r="G103" s="260">
        <f>E103*F103</f>
        <v>0</v>
      </c>
    </row>
    <row r="104" spans="1:7" ht="15" customHeight="1">
      <c r="A104" s="260" t="s">
        <v>49</v>
      </c>
      <c r="B104" s="633" t="s">
        <v>94</v>
      </c>
      <c r="C104" s="633"/>
      <c r="D104" s="289"/>
      <c r="E104" s="289"/>
      <c r="F104" s="289"/>
      <c r="G104" s="289"/>
    </row>
    <row r="105" spans="1:7" ht="15" customHeight="1">
      <c r="A105" s="260"/>
      <c r="B105" s="636" t="s">
        <v>95</v>
      </c>
      <c r="C105" s="636"/>
      <c r="D105" s="289" t="s">
        <v>96</v>
      </c>
      <c r="E105" s="289">
        <v>6</v>
      </c>
      <c r="F105" s="289"/>
      <c r="G105" s="289"/>
    </row>
    <row r="106" spans="1:7" ht="15" customHeight="1">
      <c r="A106" s="260"/>
      <c r="B106" s="636" t="s">
        <v>97</v>
      </c>
      <c r="C106" s="636"/>
      <c r="D106" s="289" t="s">
        <v>91</v>
      </c>
      <c r="E106" s="289">
        <v>8</v>
      </c>
      <c r="F106" s="289"/>
      <c r="G106" s="289"/>
    </row>
    <row r="107" spans="1:7" ht="15" customHeight="1">
      <c r="A107" s="260"/>
      <c r="B107" s="636" t="s">
        <v>114</v>
      </c>
      <c r="C107" s="636"/>
      <c r="D107" s="289" t="s">
        <v>85</v>
      </c>
      <c r="E107" s="289"/>
      <c r="F107" s="289">
        <v>16.04</v>
      </c>
      <c r="G107" s="290">
        <f>E105*E106*F107</f>
        <v>769.92</v>
      </c>
    </row>
    <row r="108" spans="1:7" ht="15" customHeight="1">
      <c r="A108" s="260" t="s">
        <v>19</v>
      </c>
      <c r="B108" s="635" t="s">
        <v>115</v>
      </c>
      <c r="C108" s="635"/>
      <c r="D108" s="289"/>
      <c r="E108" s="289"/>
      <c r="F108" s="289"/>
      <c r="G108" s="289"/>
    </row>
    <row r="109" spans="1:7" ht="15" customHeight="1">
      <c r="A109" s="260"/>
      <c r="B109" s="636" t="s">
        <v>116</v>
      </c>
      <c r="C109" s="636"/>
      <c r="D109" s="289" t="s">
        <v>117</v>
      </c>
      <c r="E109" s="289">
        <v>2</v>
      </c>
      <c r="F109" s="289"/>
      <c r="G109" s="289"/>
    </row>
    <row r="110" spans="1:7" ht="15" customHeight="1">
      <c r="A110" s="260"/>
      <c r="B110" s="636" t="s">
        <v>118</v>
      </c>
      <c r="C110" s="636"/>
      <c r="D110" s="289" t="s">
        <v>85</v>
      </c>
      <c r="E110" s="289">
        <v>10</v>
      </c>
      <c r="F110" s="293">
        <f>(14249.86+97346.65)/73/12/193*0.5</f>
        <v>0.3300343944448388</v>
      </c>
      <c r="G110" s="290">
        <f>E109*E110*F110</f>
        <v>6.6006878888967755</v>
      </c>
    </row>
    <row r="111" spans="1:7" ht="15" customHeight="1">
      <c r="A111" s="260" t="s">
        <v>54</v>
      </c>
      <c r="B111" s="635" t="s">
        <v>119</v>
      </c>
      <c r="C111" s="635"/>
      <c r="D111" s="289"/>
      <c r="E111" s="289"/>
      <c r="F111" s="289"/>
      <c r="G111" s="289"/>
    </row>
    <row r="112" spans="1:7" ht="15" customHeight="1">
      <c r="A112" s="260"/>
      <c r="B112" s="636" t="s">
        <v>120</v>
      </c>
      <c r="C112" s="636"/>
      <c r="D112" s="289" t="s">
        <v>117</v>
      </c>
      <c r="E112" s="289"/>
      <c r="F112" s="289"/>
      <c r="G112" s="289"/>
    </row>
    <row r="113" spans="1:7" ht="15" customHeight="1">
      <c r="A113" s="260"/>
      <c r="B113" s="636" t="s">
        <v>121</v>
      </c>
      <c r="C113" s="636"/>
      <c r="D113" s="289" t="s">
        <v>85</v>
      </c>
      <c r="E113" s="289"/>
      <c r="F113" s="289"/>
      <c r="G113" s="289">
        <f>E112*E113*F113</f>
        <v>0</v>
      </c>
    </row>
    <row r="114" spans="1:7" ht="15" customHeight="1">
      <c r="A114" s="260" t="s">
        <v>22</v>
      </c>
      <c r="B114" s="635" t="s">
        <v>99</v>
      </c>
      <c r="C114" s="635"/>
      <c r="D114" s="289"/>
      <c r="E114" s="289"/>
      <c r="F114" s="289"/>
      <c r="G114" s="289"/>
    </row>
    <row r="115" spans="1:7" ht="15" customHeight="1">
      <c r="A115" s="260"/>
      <c r="B115" s="636" t="s">
        <v>97</v>
      </c>
      <c r="C115" s="636"/>
      <c r="D115" s="289" t="s">
        <v>91</v>
      </c>
      <c r="E115" s="290">
        <v>7</v>
      </c>
      <c r="F115" s="289"/>
      <c r="G115" s="289"/>
    </row>
    <row r="116" spans="1:7" ht="15" customHeight="1">
      <c r="A116" s="260"/>
      <c r="B116" s="636" t="s">
        <v>102</v>
      </c>
      <c r="C116" s="636"/>
      <c r="D116" s="289" t="s">
        <v>85</v>
      </c>
      <c r="E116" s="289"/>
      <c r="F116" s="289">
        <v>3.71</v>
      </c>
      <c r="G116" s="290">
        <f>E115*F116</f>
        <v>25.97</v>
      </c>
    </row>
    <row r="117" spans="1:7" ht="14.25" customHeight="1">
      <c r="A117" s="260" t="s">
        <v>72</v>
      </c>
      <c r="B117" s="635" t="s">
        <v>400</v>
      </c>
      <c r="C117" s="635"/>
      <c r="D117" s="289"/>
      <c r="E117" s="289"/>
      <c r="F117" s="289"/>
      <c r="G117" s="289"/>
    </row>
    <row r="118" spans="1:7" ht="15" customHeight="1">
      <c r="A118" s="301"/>
      <c r="B118" s="636" t="s">
        <v>116</v>
      </c>
      <c r="C118" s="636"/>
      <c r="D118" s="289" t="s">
        <v>117</v>
      </c>
      <c r="E118" s="289"/>
      <c r="F118" s="289"/>
      <c r="G118" s="289"/>
    </row>
    <row r="119" spans="1:7" ht="15" customHeight="1">
      <c r="A119" s="301"/>
      <c r="B119" s="636" t="s">
        <v>118</v>
      </c>
      <c r="C119" s="636"/>
      <c r="D119" s="289" t="s">
        <v>85</v>
      </c>
      <c r="E119" s="289"/>
      <c r="F119" s="293"/>
      <c r="G119" s="290">
        <f>E118*E119*F119</f>
        <v>0</v>
      </c>
    </row>
    <row r="120" spans="1:7" ht="18.75" customHeight="1">
      <c r="A120" s="260"/>
      <c r="B120" s="631" t="s">
        <v>123</v>
      </c>
      <c r="C120" s="632"/>
      <c r="D120" s="260"/>
      <c r="E120" s="261"/>
      <c r="F120" s="260"/>
      <c r="G120" s="263">
        <f>SUM(G101:G119)</f>
        <v>963.1306878888968</v>
      </c>
    </row>
    <row r="121" ht="18.75" customHeight="1">
      <c r="A121" s="245"/>
    </row>
    <row r="122" ht="18.75" customHeight="1">
      <c r="A122" s="254" t="s">
        <v>124</v>
      </c>
    </row>
    <row r="123" ht="15" thickBot="1">
      <c r="A123" s="254"/>
    </row>
    <row r="124" spans="1:9" ht="29.25" customHeight="1" thickBot="1">
      <c r="A124" s="279" t="s">
        <v>37</v>
      </c>
      <c r="B124" s="297" t="s">
        <v>38</v>
      </c>
      <c r="C124" s="298"/>
      <c r="D124" s="299" t="s">
        <v>39</v>
      </c>
      <c r="E124" s="302" t="s">
        <v>207</v>
      </c>
      <c r="F124" s="280" t="s">
        <v>58</v>
      </c>
      <c r="G124" s="280" t="s">
        <v>59</v>
      </c>
      <c r="H124" s="303"/>
      <c r="I124" s="304"/>
    </row>
    <row r="125" spans="1:9" ht="15" customHeight="1">
      <c r="A125" s="272" t="s">
        <v>9</v>
      </c>
      <c r="B125" s="634" t="s">
        <v>401</v>
      </c>
      <c r="C125" s="634"/>
      <c r="D125" s="300" t="s">
        <v>96</v>
      </c>
      <c r="E125" s="300">
        <v>2</v>
      </c>
      <c r="F125" s="300"/>
      <c r="G125" s="300"/>
      <c r="H125" s="266"/>
      <c r="I125" s="304"/>
    </row>
    <row r="126" spans="1:9" ht="15" customHeight="1">
      <c r="A126" s="260" t="s">
        <v>45</v>
      </c>
      <c r="B126" s="633" t="s">
        <v>126</v>
      </c>
      <c r="C126" s="633"/>
      <c r="D126" s="289" t="s">
        <v>127</v>
      </c>
      <c r="E126" s="289">
        <v>100</v>
      </c>
      <c r="F126" s="289"/>
      <c r="G126" s="289"/>
      <c r="H126" s="266"/>
      <c r="I126" s="304"/>
    </row>
    <row r="127" spans="1:9" ht="16.5" customHeight="1">
      <c r="A127" s="260" t="s">
        <v>14</v>
      </c>
      <c r="B127" s="633" t="s">
        <v>128</v>
      </c>
      <c r="C127" s="633"/>
      <c r="D127" s="289" t="s">
        <v>91</v>
      </c>
      <c r="E127" s="289">
        <v>7</v>
      </c>
      <c r="F127" s="293">
        <f>1880.95/712.5</f>
        <v>2.6399298245614036</v>
      </c>
      <c r="G127" s="290">
        <f>E125*E127*F127</f>
        <v>36.95901754385965</v>
      </c>
      <c r="H127" s="266"/>
      <c r="I127" s="304"/>
    </row>
    <row r="128" spans="1:9" ht="14.25" customHeight="1">
      <c r="A128" s="260" t="s">
        <v>49</v>
      </c>
      <c r="B128" s="633" t="s">
        <v>130</v>
      </c>
      <c r="C128" s="633"/>
      <c r="D128" s="289" t="s">
        <v>131</v>
      </c>
      <c r="E128" s="289"/>
      <c r="F128" s="289"/>
      <c r="G128" s="290"/>
      <c r="H128" s="266"/>
      <c r="I128" s="304"/>
    </row>
    <row r="129" spans="1:9" ht="15" customHeight="1">
      <c r="A129" s="260"/>
      <c r="B129" s="633" t="s">
        <v>132</v>
      </c>
      <c r="C129" s="633"/>
      <c r="D129" s="289" t="s">
        <v>131</v>
      </c>
      <c r="E129" s="289"/>
      <c r="F129" s="289"/>
      <c r="G129" s="290">
        <f>E129*F129</f>
        <v>0</v>
      </c>
      <c r="H129" s="266"/>
      <c r="I129" s="304"/>
    </row>
    <row r="130" spans="1:9" ht="15">
      <c r="A130" s="260"/>
      <c r="B130" s="633" t="s">
        <v>133</v>
      </c>
      <c r="C130" s="633"/>
      <c r="D130" s="289" t="s">
        <v>131</v>
      </c>
      <c r="E130" s="292"/>
      <c r="F130" s="289"/>
      <c r="G130" s="290">
        <f>E130*F130</f>
        <v>0</v>
      </c>
      <c r="H130" s="266"/>
      <c r="I130" s="304"/>
    </row>
    <row r="131" spans="1:9" ht="15">
      <c r="A131" s="260"/>
      <c r="B131" s="633" t="s">
        <v>134</v>
      </c>
      <c r="C131" s="633"/>
      <c r="D131" s="289" t="s">
        <v>131</v>
      </c>
      <c r="E131" s="289">
        <f>12/100*E126</f>
        <v>12</v>
      </c>
      <c r="F131" s="289">
        <v>8.38</v>
      </c>
      <c r="G131" s="290">
        <f>E131*F131</f>
        <v>100.56</v>
      </c>
      <c r="H131" s="266"/>
      <c r="I131" s="304"/>
    </row>
    <row r="132" spans="1:9" ht="15">
      <c r="A132" s="260"/>
      <c r="B132" s="631" t="s">
        <v>135</v>
      </c>
      <c r="C132" s="632"/>
      <c r="D132" s="260"/>
      <c r="E132" s="261"/>
      <c r="F132" s="260"/>
      <c r="G132" s="263">
        <f>SUM(G125:G131)</f>
        <v>137.51901754385966</v>
      </c>
      <c r="H132" s="266"/>
      <c r="I132" s="304"/>
    </row>
    <row r="133" spans="1:9" ht="12.75">
      <c r="A133" s="296"/>
      <c r="B133" s="296"/>
      <c r="C133" s="296"/>
      <c r="D133" s="296"/>
      <c r="E133" s="296"/>
      <c r="F133" s="296"/>
      <c r="G133" s="296"/>
      <c r="H133" s="296"/>
      <c r="I133" s="296"/>
    </row>
    <row r="134" ht="15" thickBot="1">
      <c r="A134" s="254" t="s">
        <v>136</v>
      </c>
    </row>
    <row r="135" spans="1:7" ht="28.5" customHeight="1" thickBot="1">
      <c r="A135" s="279" t="s">
        <v>37</v>
      </c>
      <c r="B135" s="297" t="s">
        <v>38</v>
      </c>
      <c r="C135" s="298"/>
      <c r="D135" s="280" t="s">
        <v>39</v>
      </c>
      <c r="E135" s="280" t="s">
        <v>207</v>
      </c>
      <c r="F135" s="280" t="s">
        <v>58</v>
      </c>
      <c r="G135" s="280" t="s">
        <v>59</v>
      </c>
    </row>
    <row r="136" spans="1:7" ht="14.25" customHeight="1">
      <c r="A136" s="272" t="s">
        <v>9</v>
      </c>
      <c r="B136" s="634" t="s">
        <v>137</v>
      </c>
      <c r="C136" s="634"/>
      <c r="D136" s="272"/>
      <c r="E136" s="300"/>
      <c r="F136" s="300"/>
      <c r="G136" s="300"/>
    </row>
    <row r="137" spans="1:7" ht="14.25" customHeight="1">
      <c r="A137" s="260" t="s">
        <v>45</v>
      </c>
      <c r="B137" s="633" t="s">
        <v>139</v>
      </c>
      <c r="C137" s="633"/>
      <c r="D137" s="648"/>
      <c r="E137" s="648"/>
      <c r="F137" s="648"/>
      <c r="G137" s="648"/>
    </row>
    <row r="138" spans="1:7" ht="14.25" customHeight="1">
      <c r="A138" s="260" t="s">
        <v>14</v>
      </c>
      <c r="B138" s="633" t="s">
        <v>140</v>
      </c>
      <c r="C138" s="633"/>
      <c r="D138" s="648"/>
      <c r="E138" s="648"/>
      <c r="F138" s="648"/>
      <c r="G138" s="648"/>
    </row>
    <row r="139" spans="1:7" ht="15" customHeight="1">
      <c r="A139" s="260" t="s">
        <v>49</v>
      </c>
      <c r="B139" s="633" t="s">
        <v>141</v>
      </c>
      <c r="C139" s="633"/>
      <c r="D139" s="260" t="s">
        <v>402</v>
      </c>
      <c r="E139" s="289"/>
      <c r="F139" s="337"/>
      <c r="G139" s="312">
        <f>E139*F139*E136</f>
        <v>0</v>
      </c>
    </row>
    <row r="140" spans="1:7" ht="15" customHeight="1">
      <c r="A140" s="260" t="s">
        <v>19</v>
      </c>
      <c r="B140" s="633" t="s">
        <v>142</v>
      </c>
      <c r="C140" s="633"/>
      <c r="D140" s="260" t="s">
        <v>402</v>
      </c>
      <c r="E140" s="289"/>
      <c r="F140" s="337"/>
      <c r="G140" s="312">
        <f>E140*F140*E136</f>
        <v>0</v>
      </c>
    </row>
    <row r="141" spans="1:7" ht="15" customHeight="1">
      <c r="A141" s="260" t="s">
        <v>54</v>
      </c>
      <c r="B141" s="633" t="s">
        <v>143</v>
      </c>
      <c r="C141" s="633"/>
      <c r="D141" s="260" t="s">
        <v>85</v>
      </c>
      <c r="E141" s="289"/>
      <c r="F141" s="289"/>
      <c r="G141" s="289"/>
    </row>
    <row r="142" spans="1:7" ht="15" customHeight="1">
      <c r="A142" s="260" t="s">
        <v>22</v>
      </c>
      <c r="B142" s="633" t="s">
        <v>144</v>
      </c>
      <c r="C142" s="633"/>
      <c r="D142" s="260" t="s">
        <v>85</v>
      </c>
      <c r="E142" s="289"/>
      <c r="F142" s="289"/>
      <c r="G142" s="289">
        <f>E136*F142</f>
        <v>0</v>
      </c>
    </row>
    <row r="143" spans="1:7" ht="15" customHeight="1">
      <c r="A143" s="260" t="s">
        <v>72</v>
      </c>
      <c r="B143" s="633" t="s">
        <v>145</v>
      </c>
      <c r="C143" s="633"/>
      <c r="D143" s="260" t="s">
        <v>85</v>
      </c>
      <c r="E143" s="289"/>
      <c r="F143" s="289"/>
      <c r="G143" s="289">
        <f>E136*F143</f>
        <v>0</v>
      </c>
    </row>
    <row r="144" spans="1:7" ht="15" customHeight="1">
      <c r="A144" s="260" t="s">
        <v>26</v>
      </c>
      <c r="B144" s="633" t="s">
        <v>146</v>
      </c>
      <c r="C144" s="633"/>
      <c r="D144" s="260" t="s">
        <v>85</v>
      </c>
      <c r="E144" s="289"/>
      <c r="F144" s="289"/>
      <c r="G144" s="289">
        <f>F144</f>
        <v>0</v>
      </c>
    </row>
    <row r="145" spans="1:7" ht="15" customHeight="1">
      <c r="A145" s="260" t="s">
        <v>31</v>
      </c>
      <c r="B145" s="633"/>
      <c r="C145" s="633"/>
      <c r="D145" s="260"/>
      <c r="E145" s="289"/>
      <c r="F145" s="289"/>
      <c r="G145" s="289"/>
    </row>
    <row r="146" spans="1:7" ht="15" customHeight="1">
      <c r="A146" s="260"/>
      <c r="B146" s="631" t="s">
        <v>147</v>
      </c>
      <c r="C146" s="632"/>
      <c r="D146" s="260"/>
      <c r="E146" s="261"/>
      <c r="F146" s="260"/>
      <c r="G146" s="263">
        <f>SUM(G139:G145)</f>
        <v>0</v>
      </c>
    </row>
    <row r="147" ht="14.25">
      <c r="A147" s="245"/>
    </row>
    <row r="148" ht="14.25">
      <c r="A148" s="245"/>
    </row>
    <row r="149" ht="14.25">
      <c r="A149" s="254" t="s">
        <v>148</v>
      </c>
    </row>
    <row r="150" ht="15" thickBot="1">
      <c r="A150" s="254"/>
    </row>
    <row r="151" spans="1:7" ht="28.5" customHeight="1" thickBot="1">
      <c r="A151" s="279" t="s">
        <v>37</v>
      </c>
      <c r="B151" s="652" t="s">
        <v>38</v>
      </c>
      <c r="C151" s="653"/>
      <c r="D151" s="299" t="s">
        <v>39</v>
      </c>
      <c r="E151" s="280" t="s">
        <v>207</v>
      </c>
      <c r="F151" s="280" t="s">
        <v>58</v>
      </c>
      <c r="G151" s="280" t="s">
        <v>59</v>
      </c>
    </row>
    <row r="152" spans="1:7" ht="14.25" customHeight="1">
      <c r="A152" s="272" t="s">
        <v>9</v>
      </c>
      <c r="B152" s="634" t="s">
        <v>149</v>
      </c>
      <c r="C152" s="634"/>
      <c r="D152" s="272" t="s">
        <v>85</v>
      </c>
      <c r="E152" s="300"/>
      <c r="F152" s="300"/>
      <c r="G152" s="300"/>
    </row>
    <row r="153" spans="1:7" ht="14.25" customHeight="1">
      <c r="A153" s="260" t="s">
        <v>45</v>
      </c>
      <c r="B153" s="633" t="s">
        <v>499</v>
      </c>
      <c r="C153" s="633"/>
      <c r="D153" s="260" t="s">
        <v>85</v>
      </c>
      <c r="E153" s="289"/>
      <c r="F153" s="289"/>
      <c r="G153" s="289">
        <v>40</v>
      </c>
    </row>
    <row r="154" spans="1:7" ht="15" customHeight="1">
      <c r="A154" s="260" t="s">
        <v>14</v>
      </c>
      <c r="B154" s="633" t="s">
        <v>405</v>
      </c>
      <c r="C154" s="633"/>
      <c r="D154" s="260" t="s">
        <v>96</v>
      </c>
      <c r="E154" s="289">
        <v>5</v>
      </c>
      <c r="F154" s="289">
        <v>271.78</v>
      </c>
      <c r="G154" s="290">
        <f>E154*F154</f>
        <v>1358.8999999999999</v>
      </c>
    </row>
    <row r="155" spans="1:7" ht="14.25">
      <c r="A155" s="260" t="s">
        <v>49</v>
      </c>
      <c r="B155" s="633" t="s">
        <v>152</v>
      </c>
      <c r="C155" s="633"/>
      <c r="D155" s="260" t="s">
        <v>96</v>
      </c>
      <c r="E155" s="289"/>
      <c r="F155" s="292">
        <v>14</v>
      </c>
      <c r="G155" s="289">
        <f>E155*F155</f>
        <v>0</v>
      </c>
    </row>
    <row r="156" spans="1:7" ht="15" customHeight="1">
      <c r="A156" s="260" t="s">
        <v>19</v>
      </c>
      <c r="B156" s="633" t="s">
        <v>466</v>
      </c>
      <c r="C156" s="633"/>
      <c r="D156" s="260"/>
      <c r="E156" s="289"/>
      <c r="F156" s="289"/>
      <c r="G156" s="289"/>
    </row>
    <row r="157" spans="1:7" ht="15" customHeight="1">
      <c r="A157" s="260" t="s">
        <v>54</v>
      </c>
      <c r="B157" s="633" t="s">
        <v>154</v>
      </c>
      <c r="C157" s="633"/>
      <c r="D157" s="260"/>
      <c r="E157" s="289">
        <v>1</v>
      </c>
      <c r="F157" s="289"/>
      <c r="G157" s="289"/>
    </row>
    <row r="158" spans="1:7" ht="15" customHeight="1">
      <c r="A158" s="260" t="s">
        <v>22</v>
      </c>
      <c r="B158" s="633" t="s">
        <v>155</v>
      </c>
      <c r="C158" s="633"/>
      <c r="D158" s="260"/>
      <c r="E158" s="289">
        <v>1</v>
      </c>
      <c r="F158" s="293"/>
      <c r="G158" s="289"/>
    </row>
    <row r="159" spans="1:7" ht="15" customHeight="1">
      <c r="A159" s="260" t="s">
        <v>72</v>
      </c>
      <c r="B159" s="633" t="s">
        <v>156</v>
      </c>
      <c r="C159" s="633"/>
      <c r="D159" s="260"/>
      <c r="E159" s="289">
        <v>1</v>
      </c>
      <c r="F159" s="289"/>
      <c r="G159" s="289"/>
    </row>
    <row r="160" spans="1:7" ht="15" customHeight="1">
      <c r="A160" s="260" t="s">
        <v>26</v>
      </c>
      <c r="B160" s="633" t="s">
        <v>306</v>
      </c>
      <c r="C160" s="633"/>
      <c r="D160" s="260" t="s">
        <v>85</v>
      </c>
      <c r="E160" s="289"/>
      <c r="F160" s="289"/>
      <c r="G160" s="289"/>
    </row>
    <row r="161" spans="1:7" ht="15" customHeight="1">
      <c r="A161" s="260"/>
      <c r="B161" s="664"/>
      <c r="C161" s="665"/>
      <c r="D161" s="260"/>
      <c r="E161" s="289"/>
      <c r="F161" s="289"/>
      <c r="G161" s="289"/>
    </row>
    <row r="162" spans="1:7" ht="15" customHeight="1">
      <c r="A162" s="260"/>
      <c r="B162" s="656"/>
      <c r="C162" s="657"/>
      <c r="D162" s="260"/>
      <c r="E162" s="289"/>
      <c r="F162" s="289"/>
      <c r="G162" s="289">
        <f>E162*F162</f>
        <v>0</v>
      </c>
    </row>
    <row r="163" spans="1:7" ht="15" customHeight="1">
      <c r="A163" s="260"/>
      <c r="B163" s="654"/>
      <c r="C163" s="655"/>
      <c r="D163" s="260"/>
      <c r="E163" s="289"/>
      <c r="F163" s="289"/>
      <c r="G163" s="289">
        <f>E163*F163</f>
        <v>0</v>
      </c>
    </row>
    <row r="164" spans="1:7" ht="15" customHeight="1">
      <c r="A164" s="260"/>
      <c r="B164" s="631" t="s">
        <v>158</v>
      </c>
      <c r="C164" s="632"/>
      <c r="D164" s="260"/>
      <c r="E164" s="261"/>
      <c r="F164" s="260"/>
      <c r="G164" s="263">
        <f>SUM(G152:G163)</f>
        <v>1398.8999999999999</v>
      </c>
    </row>
    <row r="165" ht="14.25">
      <c r="A165" s="245"/>
    </row>
    <row r="166" ht="14.25">
      <c r="A166" s="254" t="s">
        <v>159</v>
      </c>
    </row>
    <row r="167" ht="15" thickBot="1">
      <c r="A167" s="254"/>
    </row>
    <row r="168" spans="1:7" ht="28.5" customHeight="1">
      <c r="A168" s="637" t="s">
        <v>37</v>
      </c>
      <c r="B168" s="642" t="s">
        <v>38</v>
      </c>
      <c r="C168" s="643"/>
      <c r="D168" s="255" t="s">
        <v>39</v>
      </c>
      <c r="E168" s="256" t="s">
        <v>207</v>
      </c>
      <c r="F168" s="256" t="s">
        <v>58</v>
      </c>
      <c r="G168" s="256" t="s">
        <v>59</v>
      </c>
    </row>
    <row r="169" spans="1:7" ht="15" customHeight="1" thickBot="1">
      <c r="A169" s="638"/>
      <c r="B169" s="644"/>
      <c r="C169" s="645"/>
      <c r="D169" s="257"/>
      <c r="E169" s="258"/>
      <c r="F169" s="258"/>
      <c r="G169" s="258"/>
    </row>
    <row r="170" spans="1:7" ht="15" customHeight="1">
      <c r="A170" s="272" t="s">
        <v>9</v>
      </c>
      <c r="B170" s="646" t="s">
        <v>160</v>
      </c>
      <c r="C170" s="647"/>
      <c r="D170" s="272" t="s">
        <v>85</v>
      </c>
      <c r="E170" s="272"/>
      <c r="F170" s="272"/>
      <c r="G170" s="272">
        <f>E170*F170</f>
        <v>0</v>
      </c>
    </row>
    <row r="171" spans="1:7" ht="15" customHeight="1">
      <c r="A171" s="260"/>
      <c r="B171" s="658"/>
      <c r="C171" s="658"/>
      <c r="D171" s="260"/>
      <c r="E171" s="260"/>
      <c r="F171" s="260"/>
      <c r="G171" s="260"/>
    </row>
    <row r="172" spans="1:7" ht="15" customHeight="1">
      <c r="A172" s="260"/>
      <c r="B172" s="631" t="s">
        <v>161</v>
      </c>
      <c r="C172" s="632"/>
      <c r="D172" s="260"/>
      <c r="E172" s="260"/>
      <c r="F172" s="260"/>
      <c r="G172" s="260">
        <f>SUM(G170:G171)</f>
        <v>0</v>
      </c>
    </row>
    <row r="173" ht="15" customHeight="1">
      <c r="A173" s="245"/>
    </row>
    <row r="174" ht="14.25">
      <c r="A174" s="254" t="s">
        <v>162</v>
      </c>
    </row>
    <row r="175" ht="15" thickBot="1">
      <c r="A175" s="254"/>
    </row>
    <row r="176" spans="1:7" ht="28.5" customHeight="1" thickBot="1">
      <c r="A176" s="279" t="s">
        <v>37</v>
      </c>
      <c r="B176" s="652" t="s">
        <v>38</v>
      </c>
      <c r="C176" s="653"/>
      <c r="D176" s="299" t="s">
        <v>39</v>
      </c>
      <c r="E176" s="280" t="s">
        <v>207</v>
      </c>
      <c r="F176" s="280" t="s">
        <v>58</v>
      </c>
      <c r="G176" s="280" t="s">
        <v>59</v>
      </c>
    </row>
    <row r="177" spans="1:7" ht="14.25" customHeight="1">
      <c r="A177" s="272" t="s">
        <v>9</v>
      </c>
      <c r="B177" s="634" t="s">
        <v>163</v>
      </c>
      <c r="C177" s="634"/>
      <c r="D177" s="272"/>
      <c r="E177" s="272"/>
      <c r="F177" s="272"/>
      <c r="G177" s="272"/>
    </row>
    <row r="178" spans="1:7" ht="14.25" customHeight="1">
      <c r="A178" s="260"/>
      <c r="B178" s="633" t="s">
        <v>164</v>
      </c>
      <c r="C178" s="633"/>
      <c r="D178" s="260" t="s">
        <v>165</v>
      </c>
      <c r="E178" s="289"/>
      <c r="F178" s="289"/>
      <c r="G178" s="289">
        <f>E178*F178</f>
        <v>0</v>
      </c>
    </row>
    <row r="179" spans="1:7" ht="14.25" customHeight="1">
      <c r="A179" s="260"/>
      <c r="B179" s="633" t="s">
        <v>167</v>
      </c>
      <c r="C179" s="633"/>
      <c r="D179" s="260" t="s">
        <v>165</v>
      </c>
      <c r="E179" s="289"/>
      <c r="F179" s="289"/>
      <c r="G179" s="289">
        <f>E179*F179</f>
        <v>0</v>
      </c>
    </row>
    <row r="180" spans="1:7" ht="14.25" customHeight="1">
      <c r="A180" s="260"/>
      <c r="B180" s="633" t="s">
        <v>168</v>
      </c>
      <c r="C180" s="633"/>
      <c r="D180" s="260" t="s">
        <v>165</v>
      </c>
      <c r="E180" s="289" t="s">
        <v>359</v>
      </c>
      <c r="F180" s="289">
        <v>49</v>
      </c>
      <c r="G180" s="289">
        <f>6*60*F180</f>
        <v>17640</v>
      </c>
    </row>
    <row r="181" spans="1:7" ht="29.25" customHeight="1">
      <c r="A181" s="260" t="s">
        <v>45</v>
      </c>
      <c r="B181" s="633" t="s">
        <v>170</v>
      </c>
      <c r="C181" s="633"/>
      <c r="D181" s="260" t="s">
        <v>165</v>
      </c>
      <c r="E181" s="289"/>
      <c r="F181" s="292"/>
      <c r="G181" s="289">
        <f>E181*F181</f>
        <v>0</v>
      </c>
    </row>
    <row r="182" spans="1:7" ht="15" customHeight="1">
      <c r="A182" s="260" t="s">
        <v>14</v>
      </c>
      <c r="B182" s="633" t="s">
        <v>171</v>
      </c>
      <c r="C182" s="633"/>
      <c r="D182" s="260" t="s">
        <v>85</v>
      </c>
      <c r="E182" s="289"/>
      <c r="F182" s="289"/>
      <c r="G182" s="289">
        <f>E182*F182</f>
        <v>0</v>
      </c>
    </row>
    <row r="183" spans="1:9" ht="15" customHeight="1">
      <c r="A183" s="260" t="s">
        <v>49</v>
      </c>
      <c r="B183" s="633" t="s">
        <v>172</v>
      </c>
      <c r="C183" s="633"/>
      <c r="D183" s="260" t="s">
        <v>91</v>
      </c>
      <c r="E183" s="289" t="s">
        <v>291</v>
      </c>
      <c r="F183" s="322">
        <f>23700*1.265/722.42</f>
        <v>41.500096896542175</v>
      </c>
      <c r="G183" s="323">
        <f>15/60*F183</f>
        <v>10.375024224135544</v>
      </c>
      <c r="H183" s="324"/>
      <c r="I183" s="324" t="s">
        <v>173</v>
      </c>
    </row>
    <row r="184" spans="1:7" ht="15" customHeight="1">
      <c r="A184" s="260" t="s">
        <v>19</v>
      </c>
      <c r="B184" s="633" t="s">
        <v>174</v>
      </c>
      <c r="C184" s="633"/>
      <c r="D184" s="260" t="s">
        <v>43</v>
      </c>
      <c r="E184" s="340" t="s">
        <v>500</v>
      </c>
      <c r="F184" s="306">
        <f>F54*1.265</f>
        <v>46.748358208955224</v>
      </c>
      <c r="G184" s="290">
        <f>7.75*F184</f>
        <v>362.29977611940296</v>
      </c>
    </row>
    <row r="185" spans="1:9" ht="14.25" customHeight="1">
      <c r="A185" s="260" t="s">
        <v>54</v>
      </c>
      <c r="B185" s="633" t="s">
        <v>175</v>
      </c>
      <c r="C185" s="633"/>
      <c r="D185" s="260" t="s">
        <v>43</v>
      </c>
      <c r="E185" s="329" t="s">
        <v>409</v>
      </c>
      <c r="F185" s="322">
        <f>16900*1.265/210</f>
        <v>101.80238095238096</v>
      </c>
      <c r="G185" s="290">
        <f>E185*F185</f>
        <v>610.8142857142857</v>
      </c>
      <c r="I185" s="325" t="s">
        <v>415</v>
      </c>
    </row>
    <row r="186" spans="1:7" ht="14.25" customHeight="1">
      <c r="A186" s="260" t="s">
        <v>22</v>
      </c>
      <c r="B186" s="633" t="s">
        <v>176</v>
      </c>
      <c r="C186" s="633"/>
      <c r="D186" s="260" t="s">
        <v>43</v>
      </c>
      <c r="E186" s="307"/>
      <c r="F186" s="289"/>
      <c r="G186" s="289">
        <f>E186*F186</f>
        <v>0</v>
      </c>
    </row>
    <row r="187" spans="1:7" ht="15" customHeight="1">
      <c r="A187" s="260" t="s">
        <v>72</v>
      </c>
      <c r="B187" s="633" t="s">
        <v>209</v>
      </c>
      <c r="C187" s="633"/>
      <c r="D187" s="260" t="s">
        <v>85</v>
      </c>
      <c r="E187" s="289"/>
      <c r="F187" s="289"/>
      <c r="G187" s="289">
        <f>E187*F187</f>
        <v>0</v>
      </c>
    </row>
    <row r="188" spans="1:7" ht="15" customHeight="1">
      <c r="A188" s="260"/>
      <c r="B188" s="631" t="s">
        <v>177</v>
      </c>
      <c r="C188" s="632"/>
      <c r="D188" s="260"/>
      <c r="E188" s="260"/>
      <c r="F188" s="260"/>
      <c r="G188" s="263">
        <f>SUM(G178:G187)</f>
        <v>18623.489086057823</v>
      </c>
    </row>
    <row r="189" ht="13.5" customHeight="1">
      <c r="A189" s="245"/>
    </row>
    <row r="190" ht="14.25">
      <c r="A190" s="254" t="s">
        <v>178</v>
      </c>
    </row>
    <row r="191" ht="15" thickBot="1">
      <c r="A191" s="254"/>
    </row>
    <row r="192" spans="1:7" ht="28.5" customHeight="1" thickBot="1">
      <c r="A192" s="279" t="s">
        <v>37</v>
      </c>
      <c r="B192" s="652" t="s">
        <v>38</v>
      </c>
      <c r="C192" s="653"/>
      <c r="D192" s="299" t="s">
        <v>39</v>
      </c>
      <c r="E192" s="280" t="s">
        <v>207</v>
      </c>
      <c r="F192" s="280" t="s">
        <v>58</v>
      </c>
      <c r="G192" s="280" t="s">
        <v>59</v>
      </c>
    </row>
    <row r="193" spans="1:7" ht="15" customHeight="1">
      <c r="A193" s="272" t="s">
        <v>9</v>
      </c>
      <c r="B193" s="634" t="s">
        <v>179</v>
      </c>
      <c r="C193" s="634"/>
      <c r="D193" s="272" t="s">
        <v>180</v>
      </c>
      <c r="E193" s="300"/>
      <c r="F193" s="308"/>
      <c r="G193" s="311">
        <f>E193*F193</f>
        <v>0</v>
      </c>
    </row>
    <row r="194" spans="1:7" ht="15" customHeight="1">
      <c r="A194" s="260" t="s">
        <v>45</v>
      </c>
      <c r="B194" s="633" t="s">
        <v>181</v>
      </c>
      <c r="C194" s="633"/>
      <c r="D194" s="260" t="s">
        <v>180</v>
      </c>
      <c r="E194" s="289"/>
      <c r="F194" s="306"/>
      <c r="G194" s="290">
        <f>E194*F194</f>
        <v>0</v>
      </c>
    </row>
    <row r="195" spans="1:7" ht="15" customHeight="1">
      <c r="A195" s="260" t="s">
        <v>14</v>
      </c>
      <c r="B195" s="633" t="s">
        <v>182</v>
      </c>
      <c r="C195" s="633"/>
      <c r="D195" s="260" t="s">
        <v>180</v>
      </c>
      <c r="E195" s="289"/>
      <c r="F195" s="293"/>
      <c r="G195" s="290">
        <f>E195*F195*0.5</f>
        <v>0</v>
      </c>
    </row>
    <row r="196" spans="1:7" ht="15" customHeight="1">
      <c r="A196" s="260" t="s">
        <v>49</v>
      </c>
      <c r="B196" s="633" t="s">
        <v>455</v>
      </c>
      <c r="C196" s="633"/>
      <c r="D196" s="260" t="s">
        <v>180</v>
      </c>
      <c r="E196" s="260"/>
      <c r="F196" s="260"/>
      <c r="G196" s="290">
        <f>E196*F196*0.5</f>
        <v>0</v>
      </c>
    </row>
    <row r="197" spans="1:7" ht="15" customHeight="1">
      <c r="A197" s="260"/>
      <c r="B197" s="631" t="s">
        <v>183</v>
      </c>
      <c r="C197" s="632"/>
      <c r="D197" s="260"/>
      <c r="E197" s="260"/>
      <c r="F197" s="260"/>
      <c r="G197" s="263">
        <f>SUM(G193:G196)</f>
        <v>0</v>
      </c>
    </row>
    <row r="198" ht="14.25">
      <c r="A198" s="245"/>
    </row>
    <row r="199" ht="14.25">
      <c r="A199" s="245"/>
    </row>
    <row r="200" ht="14.25">
      <c r="A200" s="245" t="s">
        <v>184</v>
      </c>
    </row>
    <row r="201" ht="15" thickBot="1">
      <c r="A201" s="245"/>
    </row>
    <row r="202" spans="1:7" ht="28.5" customHeight="1" thickBot="1">
      <c r="A202" s="279" t="s">
        <v>37</v>
      </c>
      <c r="B202" s="652" t="s">
        <v>38</v>
      </c>
      <c r="C202" s="653"/>
      <c r="D202" s="299" t="s">
        <v>39</v>
      </c>
      <c r="E202" s="280" t="s">
        <v>210</v>
      </c>
      <c r="F202" s="280" t="s">
        <v>58</v>
      </c>
      <c r="G202" s="280" t="s">
        <v>59</v>
      </c>
    </row>
    <row r="203" spans="1:7" ht="15" customHeight="1">
      <c r="A203" s="272" t="s">
        <v>9</v>
      </c>
      <c r="B203" s="634" t="s">
        <v>185</v>
      </c>
      <c r="C203" s="634"/>
      <c r="D203" s="272" t="s">
        <v>85</v>
      </c>
      <c r="E203" s="300">
        <v>6</v>
      </c>
      <c r="F203" s="300">
        <v>32.6</v>
      </c>
      <c r="G203" s="311">
        <f>E203*F203</f>
        <v>195.60000000000002</v>
      </c>
    </row>
    <row r="204" spans="1:10" ht="14.25" customHeight="1">
      <c r="A204" s="260" t="s">
        <v>45</v>
      </c>
      <c r="B204" s="633" t="s">
        <v>186</v>
      </c>
      <c r="C204" s="633"/>
      <c r="D204" s="260" t="s">
        <v>85</v>
      </c>
      <c r="E204" s="114"/>
      <c r="F204" s="44">
        <f>(1151.55+210.41+5.7+145.58)*1.2</f>
        <v>1815.888</v>
      </c>
      <c r="G204" s="103">
        <f>F204*E203</f>
        <v>10895.328</v>
      </c>
      <c r="H204" s="65"/>
      <c r="I204" s="65"/>
      <c r="J204" s="65"/>
    </row>
    <row r="205" spans="1:10" ht="14.25" customHeight="1">
      <c r="A205" s="260" t="s">
        <v>14</v>
      </c>
      <c r="B205" s="633" t="s">
        <v>187</v>
      </c>
      <c r="C205" s="633"/>
      <c r="D205" s="260" t="s">
        <v>85</v>
      </c>
      <c r="E205" s="114"/>
      <c r="F205" s="114"/>
      <c r="G205" s="114"/>
      <c r="H205" s="65"/>
      <c r="I205" s="65"/>
      <c r="J205" s="65"/>
    </row>
    <row r="206" spans="1:10" ht="14.25">
      <c r="A206" s="260" t="s">
        <v>49</v>
      </c>
      <c r="B206" s="633" t="s">
        <v>188</v>
      </c>
      <c r="C206" s="633"/>
      <c r="D206" s="260" t="s">
        <v>85</v>
      </c>
      <c r="E206" s="114"/>
      <c r="F206" s="114"/>
      <c r="G206" s="114"/>
      <c r="H206" s="65"/>
      <c r="I206" s="65"/>
      <c r="J206" s="65"/>
    </row>
    <row r="207" spans="1:10" ht="15" customHeight="1">
      <c r="A207" s="260" t="s">
        <v>19</v>
      </c>
      <c r="B207" s="633" t="s">
        <v>407</v>
      </c>
      <c r="C207" s="633"/>
      <c r="D207" s="260" t="s">
        <v>85</v>
      </c>
      <c r="E207" s="114"/>
      <c r="F207" s="114"/>
      <c r="G207" s="114"/>
      <c r="H207" s="65"/>
      <c r="I207" s="65"/>
      <c r="J207" s="65"/>
    </row>
    <row r="208" spans="1:10" ht="15" customHeight="1">
      <c r="A208" s="260" t="s">
        <v>54</v>
      </c>
      <c r="B208" s="633" t="s">
        <v>190</v>
      </c>
      <c r="C208" s="633"/>
      <c r="D208" s="260" t="s">
        <v>101</v>
      </c>
      <c r="E208" s="241">
        <f>J208/F208</f>
        <v>216.89790040206</v>
      </c>
      <c r="F208" s="43">
        <v>1.68</v>
      </c>
      <c r="G208" s="240">
        <f>E208*F208</f>
        <v>364.3884726754608</v>
      </c>
      <c r="H208" s="54"/>
      <c r="I208" s="448">
        <f>1288300*0.4/8485.23</f>
        <v>60.7314121125768</v>
      </c>
      <c r="J208" s="448">
        <f>I208*E203</f>
        <v>364.3884726754608</v>
      </c>
    </row>
    <row r="209" spans="1:10" ht="15" customHeight="1">
      <c r="A209" s="260" t="s">
        <v>22</v>
      </c>
      <c r="B209" s="633" t="s">
        <v>191</v>
      </c>
      <c r="C209" s="633"/>
      <c r="D209" s="260" t="s">
        <v>192</v>
      </c>
      <c r="E209" s="446">
        <f>J209/F209</f>
        <v>1.2069963144647842</v>
      </c>
      <c r="F209" s="43">
        <f>987*1.2</f>
        <v>1184.3999999999999</v>
      </c>
      <c r="G209" s="240">
        <f>E209*F209</f>
        <v>1429.5664348520902</v>
      </c>
      <c r="H209" s="54"/>
      <c r="I209" s="448">
        <f>2021700/8485.23</f>
        <v>238.26107247534836</v>
      </c>
      <c r="J209" s="448">
        <f>I209*E203</f>
        <v>1429.5664348520902</v>
      </c>
    </row>
    <row r="210" spans="1:10" ht="15" customHeight="1">
      <c r="A210" s="260" t="s">
        <v>72</v>
      </c>
      <c r="B210" s="633" t="s">
        <v>193</v>
      </c>
      <c r="C210" s="633"/>
      <c r="D210" s="260" t="s">
        <v>85</v>
      </c>
      <c r="E210" s="447"/>
      <c r="F210" s="241">
        <f>(229000+16300)/8485.23</f>
        <v>28.909057267746427</v>
      </c>
      <c r="G210" s="240">
        <f>F210*E203</f>
        <v>173.45434360647857</v>
      </c>
      <c r="H210" s="54"/>
      <c r="I210" s="54"/>
      <c r="J210" s="54"/>
    </row>
    <row r="211" spans="1:10" ht="14.25" customHeight="1">
      <c r="A211" s="260" t="s">
        <v>26</v>
      </c>
      <c r="B211" s="633" t="s">
        <v>194</v>
      </c>
      <c r="C211" s="633"/>
      <c r="D211" s="260" t="s">
        <v>85</v>
      </c>
      <c r="E211" s="447"/>
      <c r="F211" s="43">
        <v>2693.4</v>
      </c>
      <c r="G211" s="240">
        <f>F211*E203</f>
        <v>16160.400000000001</v>
      </c>
      <c r="H211" s="54"/>
      <c r="I211" s="54"/>
      <c r="J211" s="54"/>
    </row>
    <row r="212" spans="1:10" ht="15" customHeight="1">
      <c r="A212" s="260" t="s">
        <v>31</v>
      </c>
      <c r="B212" s="633" t="s">
        <v>408</v>
      </c>
      <c r="C212" s="633"/>
      <c r="D212" s="260" t="s">
        <v>85</v>
      </c>
      <c r="E212" s="447"/>
      <c r="F212" s="43">
        <v>300.6</v>
      </c>
      <c r="G212" s="240">
        <f>F212*E203</f>
        <v>1803.6000000000001</v>
      </c>
      <c r="H212" s="54"/>
      <c r="I212" s="54"/>
      <c r="J212" s="54"/>
    </row>
    <row r="213" spans="1:10" ht="15" customHeight="1">
      <c r="A213" s="260" t="s">
        <v>79</v>
      </c>
      <c r="B213" s="633" t="s">
        <v>196</v>
      </c>
      <c r="C213" s="633"/>
      <c r="D213" s="260" t="s">
        <v>85</v>
      </c>
      <c r="E213" s="447"/>
      <c r="F213" s="43">
        <v>1242.8</v>
      </c>
      <c r="G213" s="240">
        <f>F213*E203</f>
        <v>7456.799999999999</v>
      </c>
      <c r="H213" s="54"/>
      <c r="I213" s="54"/>
      <c r="J213" s="54"/>
    </row>
    <row r="214" ht="14.25">
      <c r="A214" s="245"/>
    </row>
    <row r="215" ht="14.25">
      <c r="A215" s="245" t="s">
        <v>197</v>
      </c>
    </row>
    <row r="216" ht="15" thickBot="1">
      <c r="A216" s="254"/>
    </row>
    <row r="217" spans="1:7" ht="14.25" customHeight="1">
      <c r="A217" s="637" t="s">
        <v>37</v>
      </c>
      <c r="B217" s="642" t="s">
        <v>38</v>
      </c>
      <c r="C217" s="643"/>
      <c r="D217" s="255" t="s">
        <v>198</v>
      </c>
      <c r="E217" s="642" t="s">
        <v>59</v>
      </c>
      <c r="F217" s="660"/>
      <c r="G217" s="643"/>
    </row>
    <row r="218" spans="1:7" ht="15" thickBot="1">
      <c r="A218" s="638"/>
      <c r="B218" s="644"/>
      <c r="C218" s="645"/>
      <c r="D218" s="257" t="s">
        <v>199</v>
      </c>
      <c r="E218" s="644"/>
      <c r="F218" s="661"/>
      <c r="G218" s="645"/>
    </row>
    <row r="219" spans="1:11" ht="15" customHeight="1">
      <c r="A219" s="272" t="s">
        <v>9</v>
      </c>
      <c r="B219" s="634" t="s">
        <v>200</v>
      </c>
      <c r="C219" s="634"/>
      <c r="D219" s="272" t="s">
        <v>85</v>
      </c>
      <c r="E219" s="667">
        <f>G42+G59+G63+G64+G97+G120+G132+G146+G164+G172+G188+G197</f>
        <v>32241.811272087594</v>
      </c>
      <c r="F219" s="667"/>
      <c r="G219" s="667"/>
      <c r="H219" s="313"/>
      <c r="K219" s="313"/>
    </row>
    <row r="220" spans="1:7" ht="15" customHeight="1">
      <c r="A220" s="260" t="s">
        <v>45</v>
      </c>
      <c r="B220" s="633" t="s">
        <v>201</v>
      </c>
      <c r="C220" s="633"/>
      <c r="D220" s="260" t="s">
        <v>85</v>
      </c>
      <c r="E220" s="662">
        <f>SUM(G203:G213)</f>
        <v>38479.13725113403</v>
      </c>
      <c r="F220" s="662"/>
      <c r="G220" s="662"/>
    </row>
    <row r="221" spans="1:7" ht="14.25">
      <c r="A221" s="260" t="s">
        <v>14</v>
      </c>
      <c r="B221" s="633" t="s">
        <v>202</v>
      </c>
      <c r="C221" s="633"/>
      <c r="D221" s="260" t="s">
        <v>85</v>
      </c>
      <c r="E221" s="662">
        <f>SUM(E219:G220)</f>
        <v>70720.94852322162</v>
      </c>
      <c r="F221" s="662"/>
      <c r="G221" s="662"/>
    </row>
    <row r="222" spans="1:7" ht="27.75" customHeight="1">
      <c r="A222" s="260">
        <v>4</v>
      </c>
      <c r="B222" s="633" t="s">
        <v>203</v>
      </c>
      <c r="C222" s="633"/>
      <c r="D222" s="260" t="s">
        <v>85</v>
      </c>
      <c r="E222" s="659"/>
      <c r="F222" s="659"/>
      <c r="G222" s="659"/>
    </row>
    <row r="223" spans="1:7" ht="15" customHeight="1">
      <c r="A223" s="260" t="s">
        <v>19</v>
      </c>
      <c r="B223" s="633" t="s">
        <v>204</v>
      </c>
      <c r="C223" s="633"/>
      <c r="D223" s="260" t="s">
        <v>85</v>
      </c>
      <c r="E223" s="659">
        <f>E221-E222</f>
        <v>70720.94852322162</v>
      </c>
      <c r="F223" s="659"/>
      <c r="G223" s="659"/>
    </row>
    <row r="224" spans="1:9" ht="14.25">
      <c r="A224" s="278"/>
      <c r="I224" s="282"/>
    </row>
    <row r="225" ht="14.25">
      <c r="A225" s="278"/>
    </row>
    <row r="234" ht="14.25">
      <c r="B234" s="314" t="s">
        <v>63</v>
      </c>
    </row>
    <row r="236" ht="14.25">
      <c r="B236" s="314" t="s">
        <v>206</v>
      </c>
    </row>
  </sheetData>
  <sheetProtection/>
  <mergeCells count="169"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  <mergeCell ref="D18:E18"/>
    <mergeCell ref="D20:E20"/>
    <mergeCell ref="D14:E14"/>
    <mergeCell ref="B31:C32"/>
    <mergeCell ref="B26:G26"/>
    <mergeCell ref="C24:G24"/>
    <mergeCell ref="E223:G223"/>
    <mergeCell ref="B47:C47"/>
    <mergeCell ref="B67:C67"/>
    <mergeCell ref="B62:C62"/>
    <mergeCell ref="D47:D48"/>
    <mergeCell ref="B223:C223"/>
    <mergeCell ref="E219:G219"/>
    <mergeCell ref="B219:C219"/>
    <mergeCell ref="B220:C220"/>
    <mergeCell ref="B221:C221"/>
    <mergeCell ref="B33:C33"/>
    <mergeCell ref="B39:C39"/>
    <mergeCell ref="B40:C40"/>
    <mergeCell ref="B210:C210"/>
    <mergeCell ref="E222:G222"/>
    <mergeCell ref="B211:C211"/>
    <mergeCell ref="B212:C212"/>
    <mergeCell ref="B213:C213"/>
    <mergeCell ref="E217:G218"/>
    <mergeCell ref="B222:C222"/>
    <mergeCell ref="B217:C218"/>
    <mergeCell ref="E220:G220"/>
    <mergeCell ref="E221:G221"/>
    <mergeCell ref="B204:C204"/>
    <mergeCell ref="B205:C205"/>
    <mergeCell ref="B206:C206"/>
    <mergeCell ref="B207:C207"/>
    <mergeCell ref="B208:C208"/>
    <mergeCell ref="B209:C209"/>
    <mergeCell ref="B203:C203"/>
    <mergeCell ref="B180:C180"/>
    <mergeCell ref="B162:C162"/>
    <mergeCell ref="B171:C171"/>
    <mergeCell ref="B172:C172"/>
    <mergeCell ref="B202:C202"/>
    <mergeCell ref="B196:C196"/>
    <mergeCell ref="B164:C164"/>
    <mergeCell ref="B179:C179"/>
    <mergeCell ref="B188:C188"/>
    <mergeCell ref="B161:C161"/>
    <mergeCell ref="B176:C176"/>
    <mergeCell ref="B178:C178"/>
    <mergeCell ref="B192:C192"/>
    <mergeCell ref="B185:C185"/>
    <mergeCell ref="B186:C186"/>
    <mergeCell ref="B187:C187"/>
    <mergeCell ref="B183:C183"/>
    <mergeCell ref="B184:C184"/>
    <mergeCell ref="B181:C181"/>
    <mergeCell ref="B151:C151"/>
    <mergeCell ref="B182:C182"/>
    <mergeCell ref="B160:C160"/>
    <mergeCell ref="B159:C159"/>
    <mergeCell ref="B163:C163"/>
    <mergeCell ref="B155:C155"/>
    <mergeCell ref="B152:C152"/>
    <mergeCell ref="B158:C158"/>
    <mergeCell ref="B157:C157"/>
    <mergeCell ref="B156:C156"/>
    <mergeCell ref="B107:C107"/>
    <mergeCell ref="B108:C108"/>
    <mergeCell ref="B76:C76"/>
    <mergeCell ref="B77:C77"/>
    <mergeCell ref="B78:C78"/>
    <mergeCell ref="B79:C79"/>
    <mergeCell ref="B101:C101"/>
    <mergeCell ref="B95:C95"/>
    <mergeCell ref="B96:C96"/>
    <mergeCell ref="A93:C93"/>
    <mergeCell ref="B75:C75"/>
    <mergeCell ref="G47:G48"/>
    <mergeCell ref="B80:C80"/>
    <mergeCell ref="A68:C68"/>
    <mergeCell ref="A47:A48"/>
    <mergeCell ref="F47:F48"/>
    <mergeCell ref="A69:C69"/>
    <mergeCell ref="E47:E48"/>
    <mergeCell ref="B81:C81"/>
    <mergeCell ref="B105:C105"/>
    <mergeCell ref="B70:C70"/>
    <mergeCell ref="B71:C71"/>
    <mergeCell ref="A82:C82"/>
    <mergeCell ref="A83:C83"/>
    <mergeCell ref="B91:C91"/>
    <mergeCell ref="B72:C72"/>
    <mergeCell ref="B73:C73"/>
    <mergeCell ref="B74:C74"/>
    <mergeCell ref="B153:C153"/>
    <mergeCell ref="B154:C154"/>
    <mergeCell ref="B106:C106"/>
    <mergeCell ref="B103:C103"/>
    <mergeCell ref="B104:C104"/>
    <mergeCell ref="B109:C109"/>
    <mergeCell ref="B110:C110"/>
    <mergeCell ref="B111:C111"/>
    <mergeCell ref="B112:C112"/>
    <mergeCell ref="B113:C113"/>
    <mergeCell ref="D137:G137"/>
    <mergeCell ref="D138:G138"/>
    <mergeCell ref="B86:C86"/>
    <mergeCell ref="B84:C84"/>
    <mergeCell ref="B85:C85"/>
    <mergeCell ref="A87:C87"/>
    <mergeCell ref="A88:C88"/>
    <mergeCell ref="B102:C102"/>
    <mergeCell ref="B89:C89"/>
    <mergeCell ref="B90:C90"/>
    <mergeCell ref="B194:C194"/>
    <mergeCell ref="B195:C195"/>
    <mergeCell ref="A168:A169"/>
    <mergeCell ref="B168:C169"/>
    <mergeCell ref="B170:C170"/>
    <mergeCell ref="B177:C177"/>
    <mergeCell ref="B37:C37"/>
    <mergeCell ref="B38:C38"/>
    <mergeCell ref="A217:A218"/>
    <mergeCell ref="B126:C126"/>
    <mergeCell ref="B127:C127"/>
    <mergeCell ref="B128:C128"/>
    <mergeCell ref="B129:C129"/>
    <mergeCell ref="B130:C130"/>
    <mergeCell ref="B131:C131"/>
    <mergeCell ref="B193:C193"/>
    <mergeCell ref="B118:C118"/>
    <mergeCell ref="B119:C119"/>
    <mergeCell ref="A31:A32"/>
    <mergeCell ref="B42:C42"/>
    <mergeCell ref="B63:C63"/>
    <mergeCell ref="B64:C64"/>
    <mergeCell ref="A38:A41"/>
    <mergeCell ref="B34:C34"/>
    <mergeCell ref="B35:C35"/>
    <mergeCell ref="B36:C36"/>
    <mergeCell ref="B140:C140"/>
    <mergeCell ref="B142:C142"/>
    <mergeCell ref="B143:C143"/>
    <mergeCell ref="B144:C144"/>
    <mergeCell ref="B141:C141"/>
    <mergeCell ref="B114:C114"/>
    <mergeCell ref="B115:C115"/>
    <mergeCell ref="B116:C116"/>
    <mergeCell ref="B117:C117"/>
    <mergeCell ref="B125:C125"/>
    <mergeCell ref="B197:C197"/>
    <mergeCell ref="B97:C97"/>
    <mergeCell ref="B120:C120"/>
    <mergeCell ref="B132:C132"/>
    <mergeCell ref="B146:C146"/>
    <mergeCell ref="B145:C145"/>
    <mergeCell ref="B136:C136"/>
    <mergeCell ref="B137:C137"/>
    <mergeCell ref="B138:C138"/>
    <mergeCell ref="B139:C139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35"/>
  <sheetViews>
    <sheetView zoomScalePageLayoutView="0" workbookViewId="0" topLeftCell="A193">
      <selection activeCell="K221" sqref="K221"/>
    </sheetView>
  </sheetViews>
  <sheetFormatPr defaultColWidth="9.00390625" defaultRowHeight="12.75"/>
  <cols>
    <col min="1" max="1" width="5.625" style="243" customWidth="1"/>
    <col min="2" max="2" width="16.00390625" style="243" customWidth="1"/>
    <col min="3" max="3" width="33.875" style="243" customWidth="1"/>
    <col min="4" max="4" width="9.625" style="243" customWidth="1"/>
    <col min="5" max="5" width="10.375" style="243" customWidth="1"/>
    <col min="6" max="7" width="11.875" style="243" customWidth="1"/>
    <col min="8" max="16384" width="9.125" style="243" customWidth="1"/>
  </cols>
  <sheetData>
    <row r="1" spans="1:4" ht="18">
      <c r="A1" s="242" t="s">
        <v>0</v>
      </c>
      <c r="D1" s="242" t="s">
        <v>1</v>
      </c>
    </row>
    <row r="2" spans="1:4" ht="18">
      <c r="A2" s="242" t="s">
        <v>2</v>
      </c>
      <c r="D2" s="244" t="s">
        <v>3</v>
      </c>
    </row>
    <row r="3" ht="18">
      <c r="D3" s="244" t="s">
        <v>4</v>
      </c>
    </row>
    <row r="7" spans="1:7" ht="18">
      <c r="A7" s="674" t="s">
        <v>386</v>
      </c>
      <c r="B7" s="674"/>
      <c r="C7" s="674"/>
      <c r="D7" s="674"/>
      <c r="E7" s="674"/>
      <c r="F7" s="674"/>
      <c r="G7" s="674"/>
    </row>
    <row r="8" spans="1:7" ht="18">
      <c r="A8" s="675" t="s">
        <v>6</v>
      </c>
      <c r="B8" s="675"/>
      <c r="C8" s="675"/>
      <c r="D8" s="675"/>
      <c r="E8" s="675"/>
      <c r="F8" s="675"/>
      <c r="G8" s="675"/>
    </row>
    <row r="9" spans="1:7" ht="18">
      <c r="A9" s="674"/>
      <c r="B9" s="674"/>
      <c r="C9" s="674"/>
      <c r="D9" s="674"/>
      <c r="E9" s="674"/>
      <c r="F9" s="674"/>
      <c r="G9" s="674"/>
    </row>
    <row r="12" ht="14.25">
      <c r="A12" s="245" t="s">
        <v>8</v>
      </c>
    </row>
    <row r="13" ht="13.5" thickBot="1"/>
    <row r="14" spans="1:7" ht="42.75" customHeight="1" thickBot="1">
      <c r="A14" s="246" t="s">
        <v>9</v>
      </c>
      <c r="B14" s="247" t="s">
        <v>10</v>
      </c>
      <c r="C14" s="248" t="s">
        <v>502</v>
      </c>
      <c r="D14" s="668" t="s">
        <v>12</v>
      </c>
      <c r="E14" s="669"/>
      <c r="F14" s="668" t="s">
        <v>213</v>
      </c>
      <c r="G14" s="669"/>
    </row>
    <row r="15" ht="13.5" thickBot="1">
      <c r="A15" s="249"/>
    </row>
    <row r="16" spans="1:7" ht="43.5" customHeight="1" thickBot="1">
      <c r="A16" s="246" t="s">
        <v>14</v>
      </c>
      <c r="B16" s="247" t="s">
        <v>15</v>
      </c>
      <c r="C16" s="248" t="s">
        <v>469</v>
      </c>
      <c r="D16" s="668" t="s">
        <v>17</v>
      </c>
      <c r="E16" s="669"/>
      <c r="F16" s="668" t="s">
        <v>359</v>
      </c>
      <c r="G16" s="669"/>
    </row>
    <row r="17" ht="13.5" thickBot="1">
      <c r="A17" s="249"/>
    </row>
    <row r="18" spans="1:7" ht="43.5" customHeight="1" thickBot="1">
      <c r="A18" s="246" t="s">
        <v>19</v>
      </c>
      <c r="B18" s="247" t="s">
        <v>20</v>
      </c>
      <c r="C18" s="248">
        <v>1</v>
      </c>
      <c r="D18" s="668" t="s">
        <v>21</v>
      </c>
      <c r="E18" s="669"/>
      <c r="F18" s="668" t="s">
        <v>535</v>
      </c>
      <c r="G18" s="669"/>
    </row>
    <row r="19" ht="13.5" thickBot="1">
      <c r="A19" s="249"/>
    </row>
    <row r="20" spans="1:7" ht="43.5" customHeight="1" thickBot="1">
      <c r="A20" s="246" t="s">
        <v>22</v>
      </c>
      <c r="B20" s="247" t="s">
        <v>23</v>
      </c>
      <c r="C20" s="248" t="s">
        <v>490</v>
      </c>
      <c r="D20" s="668" t="s">
        <v>25</v>
      </c>
      <c r="E20" s="669"/>
      <c r="F20" s="668"/>
      <c r="G20" s="669"/>
    </row>
    <row r="21" ht="13.5" thickBot="1">
      <c r="A21" s="249"/>
    </row>
    <row r="22" spans="1:7" ht="29.25" customHeight="1" thickBot="1">
      <c r="A22" s="246" t="s">
        <v>26</v>
      </c>
      <c r="B22" s="247" t="s">
        <v>27</v>
      </c>
      <c r="C22" s="250" t="s">
        <v>389</v>
      </c>
      <c r="D22" s="251" t="s">
        <v>29</v>
      </c>
      <c r="E22" s="252"/>
      <c r="F22" s="676" t="s">
        <v>471</v>
      </c>
      <c r="G22" s="677"/>
    </row>
    <row r="23" ht="12.75">
      <c r="A23" s="249"/>
    </row>
    <row r="24" spans="1:7" ht="14.25">
      <c r="A24" s="253" t="s">
        <v>31</v>
      </c>
      <c r="B24" s="253" t="s">
        <v>32</v>
      </c>
      <c r="C24" s="671" t="s">
        <v>503</v>
      </c>
      <c r="D24" s="672"/>
      <c r="E24" s="672"/>
      <c r="F24" s="672"/>
      <c r="G24" s="673"/>
    </row>
    <row r="25" spans="1:7" ht="14.25">
      <c r="A25" s="253"/>
      <c r="B25" s="670"/>
      <c r="C25" s="670"/>
      <c r="D25" s="670"/>
      <c r="E25" s="670"/>
      <c r="F25" s="670"/>
      <c r="G25" s="670"/>
    </row>
    <row r="26" spans="1:7" ht="14.25">
      <c r="A26" s="253"/>
      <c r="B26" s="670"/>
      <c r="C26" s="670"/>
      <c r="D26" s="670"/>
      <c r="E26" s="670"/>
      <c r="F26" s="670"/>
      <c r="G26" s="670"/>
    </row>
    <row r="28" ht="14.25">
      <c r="A28" s="245" t="s">
        <v>35</v>
      </c>
    </row>
    <row r="29" ht="14.25">
      <c r="A29" s="245"/>
    </row>
    <row r="30" ht="15" thickBot="1">
      <c r="A30" s="254" t="s">
        <v>36</v>
      </c>
    </row>
    <row r="31" spans="1:7" ht="28.5">
      <c r="A31" s="637" t="s">
        <v>37</v>
      </c>
      <c r="B31" s="642" t="s">
        <v>38</v>
      </c>
      <c r="C31" s="643"/>
      <c r="D31" s="255" t="s">
        <v>39</v>
      </c>
      <c r="E31" s="256" t="s">
        <v>207</v>
      </c>
      <c r="F31" s="256" t="s">
        <v>40</v>
      </c>
      <c r="G31" s="256" t="s">
        <v>41</v>
      </c>
    </row>
    <row r="32" spans="1:7" ht="18.75" customHeight="1" thickBot="1">
      <c r="A32" s="638"/>
      <c r="B32" s="644"/>
      <c r="C32" s="645"/>
      <c r="D32" s="257"/>
      <c r="E32" s="258"/>
      <c r="F32" s="258"/>
      <c r="G32" s="258"/>
    </row>
    <row r="33" spans="1:7" ht="14.25">
      <c r="A33" s="259">
        <v>1</v>
      </c>
      <c r="B33" s="663">
        <v>2</v>
      </c>
      <c r="C33" s="663"/>
      <c r="D33" s="259">
        <v>3</v>
      </c>
      <c r="E33" s="259">
        <v>4</v>
      </c>
      <c r="F33" s="259">
        <v>5</v>
      </c>
      <c r="G33" s="259">
        <v>6</v>
      </c>
    </row>
    <row r="34" spans="1:9" ht="15" customHeight="1">
      <c r="A34" s="260" t="s">
        <v>9</v>
      </c>
      <c r="B34" s="633" t="s">
        <v>504</v>
      </c>
      <c r="C34" s="633"/>
      <c r="D34" s="260" t="s">
        <v>43</v>
      </c>
      <c r="E34" s="261" t="s">
        <v>496</v>
      </c>
      <c r="F34" s="262">
        <f>(F50+F53)/2</f>
        <v>30.507462686567166</v>
      </c>
      <c r="G34" s="263">
        <f>20*F34*2</f>
        <v>1220.2985074626868</v>
      </c>
      <c r="I34" s="325"/>
    </row>
    <row r="35" spans="1:9" ht="15" customHeight="1">
      <c r="A35" s="260" t="s">
        <v>45</v>
      </c>
      <c r="B35" s="633" t="s">
        <v>505</v>
      </c>
      <c r="C35" s="633"/>
      <c r="D35" s="260" t="s">
        <v>43</v>
      </c>
      <c r="E35" s="261" t="s">
        <v>496</v>
      </c>
      <c r="F35" s="262">
        <f>(F50+F53)/2</f>
        <v>30.507462686567166</v>
      </c>
      <c r="G35" s="263">
        <f>20*F35*2</f>
        <v>1220.2985074626868</v>
      </c>
      <c r="I35" s="325"/>
    </row>
    <row r="36" spans="1:7" ht="15" customHeight="1">
      <c r="A36" s="260" t="s">
        <v>14</v>
      </c>
      <c r="B36" s="633" t="s">
        <v>506</v>
      </c>
      <c r="C36" s="633"/>
      <c r="D36" s="260" t="s">
        <v>43</v>
      </c>
      <c r="E36" s="261" t="s">
        <v>264</v>
      </c>
      <c r="F36" s="262">
        <f>(F50+F53)/2</f>
        <v>30.507462686567166</v>
      </c>
      <c r="G36" s="263">
        <f>3*F36*2</f>
        <v>183.044776119403</v>
      </c>
    </row>
    <row r="37" spans="1:7" ht="15" customHeight="1">
      <c r="A37" s="260" t="s">
        <v>49</v>
      </c>
      <c r="B37" s="633" t="s">
        <v>507</v>
      </c>
      <c r="C37" s="633"/>
      <c r="D37" s="260" t="s">
        <v>43</v>
      </c>
      <c r="E37" s="261" t="s">
        <v>264</v>
      </c>
      <c r="F37" s="262">
        <f>(F50+F53)/2</f>
        <v>30.507462686567166</v>
      </c>
      <c r="G37" s="263">
        <f>3*F37*2</f>
        <v>183.044776119403</v>
      </c>
    </row>
    <row r="38" spans="1:7" ht="15" customHeight="1">
      <c r="A38" s="639" t="s">
        <v>19</v>
      </c>
      <c r="B38" s="640" t="s">
        <v>51</v>
      </c>
      <c r="C38" s="641"/>
      <c r="D38" s="264"/>
      <c r="E38" s="265"/>
      <c r="F38" s="266"/>
      <c r="G38" s="263">
        <f>E38*F38</f>
        <v>0</v>
      </c>
    </row>
    <row r="39" spans="1:7" ht="14.25" customHeight="1">
      <c r="A39" s="639"/>
      <c r="B39" s="664" t="s">
        <v>52</v>
      </c>
      <c r="C39" s="665"/>
      <c r="D39" s="264"/>
      <c r="E39" s="269"/>
      <c r="F39" s="266"/>
      <c r="G39" s="263">
        <f>E39*F39</f>
        <v>0</v>
      </c>
    </row>
    <row r="40" spans="1:7" ht="15.75" customHeight="1">
      <c r="A40" s="639"/>
      <c r="B40" s="664"/>
      <c r="C40" s="665"/>
      <c r="D40" s="264"/>
      <c r="E40" s="269"/>
      <c r="F40" s="266"/>
      <c r="G40" s="334">
        <f>E40*F40</f>
        <v>0</v>
      </c>
    </row>
    <row r="41" spans="1:7" ht="14.25">
      <c r="A41" s="639"/>
      <c r="B41" s="270"/>
      <c r="C41" s="271"/>
      <c r="D41" s="264"/>
      <c r="E41" s="272"/>
      <c r="F41" s="266"/>
      <c r="G41" s="273">
        <f>E41*F41</f>
        <v>0</v>
      </c>
    </row>
    <row r="42" spans="1:7" ht="14.25">
      <c r="A42" s="260" t="s">
        <v>54</v>
      </c>
      <c r="B42" s="634" t="s">
        <v>55</v>
      </c>
      <c r="C42" s="634"/>
      <c r="D42" s="260"/>
      <c r="E42" s="260"/>
      <c r="F42" s="260"/>
      <c r="G42" s="263">
        <f>SUM(G34:G41)</f>
        <v>2806.68656716418</v>
      </c>
    </row>
    <row r="43" ht="14.25">
      <c r="A43" s="254"/>
    </row>
    <row r="44" ht="14.25">
      <c r="A44" s="254"/>
    </row>
    <row r="45" ht="14.25">
      <c r="A45" s="254"/>
    </row>
    <row r="46" ht="15" thickBot="1">
      <c r="A46" s="254" t="s">
        <v>56</v>
      </c>
    </row>
    <row r="47" spans="1:7" ht="27.75" customHeight="1" thickBot="1">
      <c r="A47" s="637" t="s">
        <v>37</v>
      </c>
      <c r="B47" s="652" t="s">
        <v>57</v>
      </c>
      <c r="C47" s="666"/>
      <c r="D47" s="642" t="s">
        <v>39</v>
      </c>
      <c r="E47" s="642" t="s">
        <v>207</v>
      </c>
      <c r="F47" s="637" t="s">
        <v>58</v>
      </c>
      <c r="G47" s="643" t="s">
        <v>59</v>
      </c>
    </row>
    <row r="48" spans="1:7" ht="15" customHeight="1" thickBot="1">
      <c r="A48" s="638"/>
      <c r="B48" s="274" t="s">
        <v>60</v>
      </c>
      <c r="C48" s="275" t="s">
        <v>61</v>
      </c>
      <c r="D48" s="644"/>
      <c r="E48" s="644"/>
      <c r="F48" s="638"/>
      <c r="G48" s="645"/>
    </row>
    <row r="49" spans="1:7" ht="14.25" customHeight="1">
      <c r="A49" s="272">
        <v>1</v>
      </c>
      <c r="B49" s="326" t="s">
        <v>62</v>
      </c>
      <c r="C49" s="326" t="s">
        <v>258</v>
      </c>
      <c r="D49" s="272" t="s">
        <v>43</v>
      </c>
      <c r="E49" s="272">
        <v>4</v>
      </c>
      <c r="F49" s="86">
        <f>6600*12/2010</f>
        <v>39.40298507462686</v>
      </c>
      <c r="G49" s="281">
        <f>E49*F49</f>
        <v>157.61194029850745</v>
      </c>
    </row>
    <row r="50" spans="1:7" ht="15" customHeight="1">
      <c r="A50" s="260">
        <v>2</v>
      </c>
      <c r="B50" s="276" t="s">
        <v>63</v>
      </c>
      <c r="C50" s="326" t="s">
        <v>284</v>
      </c>
      <c r="D50" s="260" t="s">
        <v>43</v>
      </c>
      <c r="E50" s="261" t="s">
        <v>312</v>
      </c>
      <c r="F50" s="86">
        <f>5100*12/2010</f>
        <v>30.44776119402985</v>
      </c>
      <c r="G50" s="281">
        <f>E50*F50</f>
        <v>365.3731343283582</v>
      </c>
    </row>
    <row r="51" spans="1:7" ht="15" customHeight="1">
      <c r="A51" s="260">
        <v>3</v>
      </c>
      <c r="B51" s="276" t="s">
        <v>65</v>
      </c>
      <c r="C51" s="338" t="s">
        <v>345</v>
      </c>
      <c r="D51" s="260" t="s">
        <v>43</v>
      </c>
      <c r="E51" s="261" t="s">
        <v>312</v>
      </c>
      <c r="F51" s="86">
        <f>6110*12/2010</f>
        <v>36.47761194029851</v>
      </c>
      <c r="G51" s="281">
        <f>E51*F51</f>
        <v>437.7313432835821</v>
      </c>
    </row>
    <row r="52" spans="1:9" ht="15" customHeight="1">
      <c r="A52" s="260">
        <v>4</v>
      </c>
      <c r="B52" s="276" t="s">
        <v>67</v>
      </c>
      <c r="C52" s="276" t="s">
        <v>497</v>
      </c>
      <c r="D52" s="260" t="s">
        <v>43</v>
      </c>
      <c r="E52" s="261" t="s">
        <v>288</v>
      </c>
      <c r="F52" s="315">
        <f>4382*12/2010</f>
        <v>26.161194029850748</v>
      </c>
      <c r="G52" s="316">
        <f>E52*F52*8</f>
        <v>2092.89552238806</v>
      </c>
      <c r="H52" s="317"/>
      <c r="I52" s="318" t="s">
        <v>413</v>
      </c>
    </row>
    <row r="53" spans="1:7" ht="15" customHeight="1">
      <c r="A53" s="260">
        <v>5</v>
      </c>
      <c r="B53" s="276" t="s">
        <v>70</v>
      </c>
      <c r="C53" s="276" t="s">
        <v>508</v>
      </c>
      <c r="D53" s="260" t="s">
        <v>43</v>
      </c>
      <c r="E53" s="261" t="s">
        <v>312</v>
      </c>
      <c r="F53" s="262">
        <f>5120*12/2010</f>
        <v>30.567164179104477</v>
      </c>
      <c r="G53" s="263">
        <f>E53*F53</f>
        <v>366.8059701492537</v>
      </c>
    </row>
    <row r="54" spans="1:9" ht="15" customHeight="1">
      <c r="A54" s="260">
        <v>6</v>
      </c>
      <c r="B54" s="276" t="s">
        <v>73</v>
      </c>
      <c r="C54" s="276" t="s">
        <v>394</v>
      </c>
      <c r="D54" s="260" t="s">
        <v>43</v>
      </c>
      <c r="E54" s="261" t="s">
        <v>312</v>
      </c>
      <c r="F54" s="315">
        <f>3901*12/2010</f>
        <v>23.28955223880597</v>
      </c>
      <c r="G54" s="316">
        <f>E54*F54*2</f>
        <v>558.9492537313433</v>
      </c>
      <c r="H54" s="317"/>
      <c r="I54" s="318" t="s">
        <v>412</v>
      </c>
    </row>
    <row r="55" spans="1:9" ht="15" customHeight="1">
      <c r="A55" s="260">
        <v>7</v>
      </c>
      <c r="B55" s="276" t="s">
        <v>75</v>
      </c>
      <c r="C55" s="276" t="s">
        <v>394</v>
      </c>
      <c r="D55" s="260" t="s">
        <v>43</v>
      </c>
      <c r="E55" s="261" t="s">
        <v>240</v>
      </c>
      <c r="F55" s="315">
        <f>3301*12/2010</f>
        <v>19.707462686567165</v>
      </c>
      <c r="G55" s="316">
        <f>E55*F55*2</f>
        <v>315.31940298507465</v>
      </c>
      <c r="H55" s="317"/>
      <c r="I55" s="318" t="s">
        <v>485</v>
      </c>
    </row>
    <row r="56" spans="1:9" ht="15" customHeight="1">
      <c r="A56" s="260">
        <v>8</v>
      </c>
      <c r="B56" s="276" t="s">
        <v>263</v>
      </c>
      <c r="C56" s="276" t="s">
        <v>395</v>
      </c>
      <c r="D56" s="260" t="s">
        <v>43</v>
      </c>
      <c r="E56" s="261" t="s">
        <v>344</v>
      </c>
      <c r="F56" s="315">
        <f>3061*12/2010</f>
        <v>18.274626865671642</v>
      </c>
      <c r="G56" s="316">
        <f>E56*F56</f>
        <v>127.92238805970149</v>
      </c>
      <c r="H56" s="317"/>
      <c r="I56" s="318" t="s">
        <v>411</v>
      </c>
    </row>
    <row r="57" spans="1:9" ht="15" customHeight="1">
      <c r="A57" s="260">
        <v>9</v>
      </c>
      <c r="B57" s="276" t="s">
        <v>80</v>
      </c>
      <c r="C57" s="276" t="s">
        <v>395</v>
      </c>
      <c r="D57" s="260" t="s">
        <v>43</v>
      </c>
      <c r="E57" s="261" t="s">
        <v>312</v>
      </c>
      <c r="F57" s="315">
        <f>2890*12/2010</f>
        <v>17.253731343283583</v>
      </c>
      <c r="G57" s="263">
        <f>E57*F57</f>
        <v>207.044776119403</v>
      </c>
      <c r="I57" s="325" t="s">
        <v>450</v>
      </c>
    </row>
    <row r="58" spans="1:7" ht="15" customHeight="1">
      <c r="A58" s="260"/>
      <c r="B58" s="276" t="s">
        <v>82</v>
      </c>
      <c r="C58" s="276"/>
      <c r="D58" s="260"/>
      <c r="E58" s="261"/>
      <c r="F58" s="260"/>
      <c r="G58" s="263">
        <f>SUM(G49:G57)</f>
        <v>4629.653731343285</v>
      </c>
    </row>
    <row r="59" ht="15" customHeight="1">
      <c r="A59" s="278"/>
    </row>
    <row r="60" ht="15" thickBot="1">
      <c r="A60" s="254" t="s">
        <v>83</v>
      </c>
    </row>
    <row r="61" spans="1:7" ht="28.5" customHeight="1" thickBot="1">
      <c r="A61" s="279" t="s">
        <v>37</v>
      </c>
      <c r="B61" s="652" t="s">
        <v>38</v>
      </c>
      <c r="C61" s="653"/>
      <c r="D61" s="280" t="s">
        <v>39</v>
      </c>
      <c r="E61" s="280" t="s">
        <v>207</v>
      </c>
      <c r="F61" s="280" t="s">
        <v>58</v>
      </c>
      <c r="G61" s="280" t="s">
        <v>59</v>
      </c>
    </row>
    <row r="62" spans="1:7" ht="15" customHeight="1">
      <c r="A62" s="272" t="s">
        <v>9</v>
      </c>
      <c r="B62" s="634" t="s">
        <v>84</v>
      </c>
      <c r="C62" s="634"/>
      <c r="D62" s="272" t="s">
        <v>85</v>
      </c>
      <c r="E62" s="259"/>
      <c r="F62" s="259"/>
      <c r="G62" s="281">
        <f>(G42+G58)*0.23</f>
        <v>1710.358268656717</v>
      </c>
    </row>
    <row r="63" spans="1:7" ht="15" customHeight="1">
      <c r="A63" s="260" t="s">
        <v>45</v>
      </c>
      <c r="B63" s="633" t="s">
        <v>86</v>
      </c>
      <c r="C63" s="633"/>
      <c r="D63" s="260" t="s">
        <v>85</v>
      </c>
      <c r="E63" s="283"/>
      <c r="F63" s="283"/>
      <c r="G63" s="263">
        <f>(G42+G58)*0.035</f>
        <v>260.2719104477613</v>
      </c>
    </row>
    <row r="64" ht="18" customHeight="1">
      <c r="A64" s="278"/>
    </row>
    <row r="65" ht="15" thickBot="1">
      <c r="A65" s="254" t="s">
        <v>87</v>
      </c>
    </row>
    <row r="66" spans="1:7" ht="27" customHeight="1" thickBot="1">
      <c r="A66" s="256" t="s">
        <v>37</v>
      </c>
      <c r="B66" s="642" t="s">
        <v>38</v>
      </c>
      <c r="C66" s="643"/>
      <c r="D66" s="255" t="s">
        <v>39</v>
      </c>
      <c r="E66" s="284" t="s">
        <v>207</v>
      </c>
      <c r="F66" s="256" t="s">
        <v>58</v>
      </c>
      <c r="G66" s="256" t="s">
        <v>59</v>
      </c>
    </row>
    <row r="67" spans="1:7" ht="15" customHeight="1">
      <c r="A67" s="650"/>
      <c r="B67" s="650"/>
      <c r="C67" s="650"/>
      <c r="D67" s="285"/>
      <c r="E67" s="285"/>
      <c r="F67" s="286"/>
      <c r="G67" s="286"/>
    </row>
    <row r="68" spans="1:7" ht="14.25">
      <c r="A68" s="649" t="s">
        <v>88</v>
      </c>
      <c r="B68" s="649"/>
      <c r="C68" s="649"/>
      <c r="D68" s="264"/>
      <c r="E68" s="264"/>
      <c r="F68" s="266"/>
      <c r="G68" s="266"/>
    </row>
    <row r="69" spans="1:7" ht="15" customHeight="1">
      <c r="A69" s="288" t="s">
        <v>9</v>
      </c>
      <c r="B69" s="633" t="s">
        <v>313</v>
      </c>
      <c r="C69" s="633"/>
      <c r="D69" s="260"/>
      <c r="E69" s="260"/>
      <c r="F69" s="260"/>
      <c r="G69" s="260"/>
    </row>
    <row r="70" spans="1:7" ht="15" customHeight="1">
      <c r="A70" s="288" t="s">
        <v>45</v>
      </c>
      <c r="B70" s="633" t="s">
        <v>90</v>
      </c>
      <c r="C70" s="633"/>
      <c r="D70" s="260" t="s">
        <v>91</v>
      </c>
      <c r="E70" s="260"/>
      <c r="F70" s="260"/>
      <c r="G70" s="260">
        <f>E70*F70</f>
        <v>0</v>
      </c>
    </row>
    <row r="71" spans="1:7" ht="15" customHeight="1">
      <c r="A71" s="288" t="s">
        <v>14</v>
      </c>
      <c r="B71" s="633" t="s">
        <v>92</v>
      </c>
      <c r="C71" s="633"/>
      <c r="D71" s="260" t="s">
        <v>91</v>
      </c>
      <c r="E71" s="260"/>
      <c r="F71" s="260"/>
      <c r="G71" s="263">
        <f>E71*F71</f>
        <v>0</v>
      </c>
    </row>
    <row r="72" spans="1:7" ht="15" customHeight="1">
      <c r="A72" s="288" t="s">
        <v>49</v>
      </c>
      <c r="B72" s="633" t="s">
        <v>93</v>
      </c>
      <c r="C72" s="633"/>
      <c r="D72" s="260" t="s">
        <v>91</v>
      </c>
      <c r="E72" s="260"/>
      <c r="F72" s="260"/>
      <c r="G72" s="263">
        <f>E72*F72</f>
        <v>0</v>
      </c>
    </row>
    <row r="73" spans="1:7" ht="15" customHeight="1">
      <c r="A73" s="288" t="s">
        <v>19</v>
      </c>
      <c r="B73" s="633" t="s">
        <v>396</v>
      </c>
      <c r="C73" s="633"/>
      <c r="D73" s="260"/>
      <c r="E73" s="260"/>
      <c r="F73" s="260"/>
      <c r="G73" s="260"/>
    </row>
    <row r="74" spans="1:7" ht="15" customHeight="1">
      <c r="A74" s="288"/>
      <c r="B74" s="636" t="s">
        <v>95</v>
      </c>
      <c r="C74" s="636"/>
      <c r="D74" s="289" t="s">
        <v>96</v>
      </c>
      <c r="E74" s="289"/>
      <c r="F74" s="289"/>
      <c r="G74" s="289"/>
    </row>
    <row r="75" spans="1:7" ht="15" customHeight="1">
      <c r="A75" s="288"/>
      <c r="B75" s="636" t="s">
        <v>97</v>
      </c>
      <c r="C75" s="636"/>
      <c r="D75" s="289" t="s">
        <v>91</v>
      </c>
      <c r="E75" s="289"/>
      <c r="F75" s="289"/>
      <c r="G75" s="289"/>
    </row>
    <row r="76" spans="1:7" ht="15" customHeight="1">
      <c r="A76" s="288"/>
      <c r="B76" s="636" t="s">
        <v>98</v>
      </c>
      <c r="C76" s="636"/>
      <c r="D76" s="289" t="s">
        <v>85</v>
      </c>
      <c r="E76" s="289"/>
      <c r="F76" s="289"/>
      <c r="G76" s="290">
        <f>E74*E75*F76</f>
        <v>0</v>
      </c>
    </row>
    <row r="77" spans="1:9" ht="15" customHeight="1">
      <c r="A77" s="288" t="s">
        <v>54</v>
      </c>
      <c r="B77" s="633" t="s">
        <v>397</v>
      </c>
      <c r="C77" s="633"/>
      <c r="D77" s="289"/>
      <c r="E77" s="289"/>
      <c r="F77" s="289"/>
      <c r="G77" s="289"/>
      <c r="I77" s="335"/>
    </row>
    <row r="78" spans="1:9" ht="15" customHeight="1">
      <c r="A78" s="288"/>
      <c r="B78" s="636" t="s">
        <v>97</v>
      </c>
      <c r="C78" s="636"/>
      <c r="D78" s="289" t="s">
        <v>91</v>
      </c>
      <c r="E78" s="289"/>
      <c r="F78" s="289"/>
      <c r="G78" s="289"/>
      <c r="I78" s="335"/>
    </row>
    <row r="79" spans="1:9" ht="15" customHeight="1">
      <c r="A79" s="288"/>
      <c r="B79" s="636" t="s">
        <v>100</v>
      </c>
      <c r="C79" s="636"/>
      <c r="D79" s="289" t="s">
        <v>101</v>
      </c>
      <c r="E79" s="292"/>
      <c r="F79" s="289"/>
      <c r="G79" s="290">
        <f>E78*E79*F79</f>
        <v>0</v>
      </c>
      <c r="I79" s="335"/>
    </row>
    <row r="80" spans="1:9" ht="15" customHeight="1">
      <c r="A80" s="288"/>
      <c r="B80" s="636" t="s">
        <v>102</v>
      </c>
      <c r="C80" s="636"/>
      <c r="D80" s="289" t="s">
        <v>91</v>
      </c>
      <c r="E80" s="289"/>
      <c r="F80" s="293"/>
      <c r="G80" s="290">
        <f>E78*F80</f>
        <v>0</v>
      </c>
      <c r="I80" s="336"/>
    </row>
    <row r="81" spans="1:9" ht="14.25" customHeight="1">
      <c r="A81" s="649"/>
      <c r="B81" s="649"/>
      <c r="C81" s="649"/>
      <c r="D81" s="294"/>
      <c r="E81" s="294"/>
      <c r="F81" s="294"/>
      <c r="G81" s="294"/>
      <c r="I81" s="336"/>
    </row>
    <row r="82" spans="1:7" ht="14.25">
      <c r="A82" s="649" t="s">
        <v>398</v>
      </c>
      <c r="B82" s="649"/>
      <c r="C82" s="649"/>
      <c r="D82" s="294"/>
      <c r="E82" s="294"/>
      <c r="F82" s="294"/>
      <c r="G82" s="294"/>
    </row>
    <row r="83" spans="1:7" ht="15" customHeight="1">
      <c r="A83" s="288"/>
      <c r="B83" s="636" t="s">
        <v>399</v>
      </c>
      <c r="C83" s="636"/>
      <c r="D83" s="289" t="s">
        <v>91</v>
      </c>
      <c r="E83" s="289">
        <v>6</v>
      </c>
      <c r="F83" s="289"/>
      <c r="G83" s="289"/>
    </row>
    <row r="84" spans="1:7" ht="15" customHeight="1">
      <c r="A84" s="288"/>
      <c r="B84" s="636" t="s">
        <v>104</v>
      </c>
      <c r="C84" s="636"/>
      <c r="D84" s="289" t="s">
        <v>101</v>
      </c>
      <c r="E84" s="289">
        <v>1.35</v>
      </c>
      <c r="F84" s="289">
        <v>1.68</v>
      </c>
      <c r="G84" s="290">
        <f>E83*E84*F84</f>
        <v>13.608000000000002</v>
      </c>
    </row>
    <row r="85" spans="1:7" ht="14.25" customHeight="1">
      <c r="A85" s="288"/>
      <c r="B85" s="636" t="s">
        <v>105</v>
      </c>
      <c r="C85" s="636"/>
      <c r="D85" s="289" t="s">
        <v>85</v>
      </c>
      <c r="E85" s="289"/>
      <c r="F85" s="289">
        <v>11.8</v>
      </c>
      <c r="G85" s="290">
        <f>E83*F85</f>
        <v>70.80000000000001</v>
      </c>
    </row>
    <row r="86" spans="1:7" ht="15" customHeight="1">
      <c r="A86" s="649"/>
      <c r="B86" s="649"/>
      <c r="C86" s="649"/>
      <c r="D86" s="294"/>
      <c r="E86" s="294"/>
      <c r="F86" s="294"/>
      <c r="G86" s="295"/>
    </row>
    <row r="87" spans="1:7" ht="14.25">
      <c r="A87" s="649" t="s">
        <v>106</v>
      </c>
      <c r="B87" s="649"/>
      <c r="C87" s="649"/>
      <c r="D87" s="294"/>
      <c r="E87" s="294"/>
      <c r="F87" s="294"/>
      <c r="G87" s="295"/>
    </row>
    <row r="88" spans="1:7" ht="15" customHeight="1">
      <c r="A88" s="288"/>
      <c r="B88" s="636" t="s">
        <v>97</v>
      </c>
      <c r="C88" s="636"/>
      <c r="D88" s="289" t="s">
        <v>91</v>
      </c>
      <c r="E88" s="289">
        <v>6</v>
      </c>
      <c r="F88" s="289"/>
      <c r="G88" s="290"/>
    </row>
    <row r="89" spans="1:7" ht="15" customHeight="1">
      <c r="A89" s="288"/>
      <c r="B89" s="636" t="s">
        <v>104</v>
      </c>
      <c r="C89" s="636"/>
      <c r="D89" s="289" t="s">
        <v>101</v>
      </c>
      <c r="E89" s="289">
        <v>0.5</v>
      </c>
      <c r="F89" s="289">
        <v>1.68</v>
      </c>
      <c r="G89" s="290">
        <f>E88*E89*F89</f>
        <v>5.04</v>
      </c>
    </row>
    <row r="90" spans="1:7" ht="14.25" customHeight="1">
      <c r="A90" s="288"/>
      <c r="B90" s="636" t="s">
        <v>107</v>
      </c>
      <c r="C90" s="636"/>
      <c r="D90" s="289" t="s">
        <v>85</v>
      </c>
      <c r="E90" s="289"/>
      <c r="F90" s="289">
        <v>0.6</v>
      </c>
      <c r="G90" s="290">
        <f>E88*F90</f>
        <v>3.5999999999999996</v>
      </c>
    </row>
    <row r="92" spans="1:7" ht="15.75">
      <c r="A92" s="649" t="s">
        <v>208</v>
      </c>
      <c r="B92" s="649"/>
      <c r="C92" s="649"/>
      <c r="D92" s="264"/>
      <c r="E92" s="264"/>
      <c r="F92" s="266"/>
      <c r="G92" s="266"/>
    </row>
    <row r="93" spans="1:7" ht="18.75" customHeight="1">
      <c r="A93" s="276"/>
      <c r="B93" s="651"/>
      <c r="C93" s="651"/>
      <c r="D93" s="260"/>
      <c r="E93" s="260"/>
      <c r="F93" s="260"/>
      <c r="G93" s="260"/>
    </row>
    <row r="94" spans="1:7" ht="14.25">
      <c r="A94" s="276"/>
      <c r="B94" s="631"/>
      <c r="C94" s="632"/>
      <c r="D94" s="260"/>
      <c r="E94" s="261"/>
      <c r="F94" s="260"/>
      <c r="G94" s="263">
        <f>SUM(G93:G93)</f>
        <v>0</v>
      </c>
    </row>
    <row r="95" spans="1:7" ht="14.25" customHeight="1">
      <c r="A95" s="260"/>
      <c r="B95" s="631" t="s">
        <v>108</v>
      </c>
      <c r="C95" s="632"/>
      <c r="D95" s="260"/>
      <c r="E95" s="261"/>
      <c r="F95" s="260"/>
      <c r="G95" s="263">
        <f>SUM(G70:G94)-1</f>
        <v>92.04800000000002</v>
      </c>
    </row>
    <row r="96" spans="1:7" ht="12.75">
      <c r="A96" s="296"/>
      <c r="B96" s="296"/>
      <c r="C96" s="296"/>
      <c r="D96" s="296"/>
      <c r="E96" s="296"/>
      <c r="F96" s="296"/>
      <c r="G96" s="296"/>
    </row>
    <row r="97" spans="1:7" ht="12.75">
      <c r="A97" s="296"/>
      <c r="B97" s="296"/>
      <c r="C97" s="296"/>
      <c r="D97" s="296"/>
      <c r="E97" s="296"/>
      <c r="F97" s="296"/>
      <c r="G97" s="296"/>
    </row>
    <row r="98" ht="15" thickBot="1">
      <c r="A98" s="254" t="s">
        <v>110</v>
      </c>
    </row>
    <row r="99" spans="1:7" ht="26.25" customHeight="1" thickBot="1">
      <c r="A99" s="279" t="s">
        <v>37</v>
      </c>
      <c r="B99" s="297" t="s">
        <v>38</v>
      </c>
      <c r="C99" s="298"/>
      <c r="D99" s="299" t="s">
        <v>39</v>
      </c>
      <c r="E99" s="280" t="s">
        <v>207</v>
      </c>
      <c r="F99" s="280" t="s">
        <v>58</v>
      </c>
      <c r="G99" s="280" t="s">
        <v>59</v>
      </c>
    </row>
    <row r="100" spans="1:7" ht="15" customHeight="1">
      <c r="A100" s="272" t="s">
        <v>9</v>
      </c>
      <c r="B100" s="634" t="s">
        <v>111</v>
      </c>
      <c r="C100" s="634"/>
      <c r="D100" s="300" t="s">
        <v>91</v>
      </c>
      <c r="E100" s="300">
        <v>12</v>
      </c>
      <c r="F100" s="308">
        <v>10.04</v>
      </c>
      <c r="G100" s="281">
        <f>E100*F100</f>
        <v>120.47999999999999</v>
      </c>
    </row>
    <row r="101" spans="1:7" ht="15" customHeight="1">
      <c r="A101" s="260" t="s">
        <v>45</v>
      </c>
      <c r="B101" s="633" t="s">
        <v>112</v>
      </c>
      <c r="C101" s="633"/>
      <c r="D101" s="289" t="s">
        <v>91</v>
      </c>
      <c r="E101" s="289"/>
      <c r="F101" s="292"/>
      <c r="G101" s="260">
        <f>E101*F101</f>
        <v>0</v>
      </c>
    </row>
    <row r="102" spans="1:7" ht="15" customHeight="1">
      <c r="A102" s="260" t="s">
        <v>14</v>
      </c>
      <c r="B102" s="633" t="s">
        <v>113</v>
      </c>
      <c r="C102" s="633"/>
      <c r="D102" s="289" t="s">
        <v>91</v>
      </c>
      <c r="E102" s="289"/>
      <c r="F102" s="292"/>
      <c r="G102" s="260">
        <f>E102*F102</f>
        <v>0</v>
      </c>
    </row>
    <row r="103" spans="1:7" ht="15" customHeight="1">
      <c r="A103" s="260" t="s">
        <v>49</v>
      </c>
      <c r="B103" s="633" t="s">
        <v>94</v>
      </c>
      <c r="C103" s="633"/>
      <c r="D103" s="289"/>
      <c r="E103" s="289"/>
      <c r="F103" s="289"/>
      <c r="G103" s="289"/>
    </row>
    <row r="104" spans="1:7" ht="15" customHeight="1">
      <c r="A104" s="260"/>
      <c r="B104" s="636" t="s">
        <v>95</v>
      </c>
      <c r="C104" s="636"/>
      <c r="D104" s="289" t="s">
        <v>96</v>
      </c>
      <c r="E104" s="289">
        <v>8</v>
      </c>
      <c r="F104" s="289"/>
      <c r="G104" s="289"/>
    </row>
    <row r="105" spans="1:7" ht="15" customHeight="1">
      <c r="A105" s="260"/>
      <c r="B105" s="636" t="s">
        <v>97</v>
      </c>
      <c r="C105" s="636"/>
      <c r="D105" s="289" t="s">
        <v>91</v>
      </c>
      <c r="E105" s="289">
        <v>12</v>
      </c>
      <c r="F105" s="289"/>
      <c r="G105" s="289"/>
    </row>
    <row r="106" spans="1:7" ht="15" customHeight="1">
      <c r="A106" s="260"/>
      <c r="B106" s="636" t="s">
        <v>114</v>
      </c>
      <c r="C106" s="636"/>
      <c r="D106" s="289" t="s">
        <v>85</v>
      </c>
      <c r="E106" s="289"/>
      <c r="F106" s="289">
        <v>16.04</v>
      </c>
      <c r="G106" s="290">
        <f>E104*E105*F106</f>
        <v>1539.84</v>
      </c>
    </row>
    <row r="107" spans="1:7" ht="15" customHeight="1">
      <c r="A107" s="260" t="s">
        <v>19</v>
      </c>
      <c r="B107" s="635" t="s">
        <v>115</v>
      </c>
      <c r="C107" s="635"/>
      <c r="D107" s="289"/>
      <c r="E107" s="289"/>
      <c r="F107" s="289"/>
      <c r="G107" s="289"/>
    </row>
    <row r="108" spans="1:7" ht="15" customHeight="1">
      <c r="A108" s="260"/>
      <c r="B108" s="636" t="s">
        <v>116</v>
      </c>
      <c r="C108" s="636"/>
      <c r="D108" s="289" t="s">
        <v>117</v>
      </c>
      <c r="E108" s="289">
        <v>2</v>
      </c>
      <c r="F108" s="289"/>
      <c r="G108" s="289"/>
    </row>
    <row r="109" spans="1:7" ht="15" customHeight="1">
      <c r="A109" s="260"/>
      <c r="B109" s="636" t="s">
        <v>118</v>
      </c>
      <c r="C109" s="636"/>
      <c r="D109" s="289" t="s">
        <v>85</v>
      </c>
      <c r="E109" s="289">
        <v>10</v>
      </c>
      <c r="F109" s="293">
        <f>(14249.86+97346.65)/73/12/193*0.5</f>
        <v>0.3300343944448388</v>
      </c>
      <c r="G109" s="290">
        <f>E108*E109*F109</f>
        <v>6.6006878888967755</v>
      </c>
    </row>
    <row r="110" spans="1:7" ht="15" customHeight="1">
      <c r="A110" s="260" t="s">
        <v>54</v>
      </c>
      <c r="B110" s="635" t="s">
        <v>119</v>
      </c>
      <c r="C110" s="635"/>
      <c r="D110" s="289"/>
      <c r="E110" s="289"/>
      <c r="F110" s="289"/>
      <c r="G110" s="289"/>
    </row>
    <row r="111" spans="1:7" ht="15" customHeight="1">
      <c r="A111" s="260"/>
      <c r="B111" s="636" t="s">
        <v>120</v>
      </c>
      <c r="C111" s="636"/>
      <c r="D111" s="289" t="s">
        <v>117</v>
      </c>
      <c r="E111" s="289"/>
      <c r="F111" s="289"/>
      <c r="G111" s="289"/>
    </row>
    <row r="112" spans="1:7" ht="15" customHeight="1">
      <c r="A112" s="260"/>
      <c r="B112" s="636" t="s">
        <v>121</v>
      </c>
      <c r="C112" s="636"/>
      <c r="D112" s="289" t="s">
        <v>85</v>
      </c>
      <c r="E112" s="289"/>
      <c r="F112" s="289"/>
      <c r="G112" s="289">
        <f>E111*E112*F112</f>
        <v>0</v>
      </c>
    </row>
    <row r="113" spans="1:7" ht="15" customHeight="1">
      <c r="A113" s="260" t="s">
        <v>22</v>
      </c>
      <c r="B113" s="635" t="s">
        <v>99</v>
      </c>
      <c r="C113" s="635"/>
      <c r="D113" s="289"/>
      <c r="E113" s="289"/>
      <c r="F113" s="289"/>
      <c r="G113" s="289"/>
    </row>
    <row r="114" spans="1:7" ht="15" customHeight="1">
      <c r="A114" s="260"/>
      <c r="B114" s="636" t="s">
        <v>97</v>
      </c>
      <c r="C114" s="636"/>
      <c r="D114" s="289" t="s">
        <v>91</v>
      </c>
      <c r="E114" s="290">
        <v>7</v>
      </c>
      <c r="F114" s="289"/>
      <c r="G114" s="289"/>
    </row>
    <row r="115" spans="1:7" ht="15" customHeight="1">
      <c r="A115" s="260"/>
      <c r="B115" s="636" t="s">
        <v>102</v>
      </c>
      <c r="C115" s="636"/>
      <c r="D115" s="289" t="s">
        <v>85</v>
      </c>
      <c r="E115" s="289"/>
      <c r="F115" s="289">
        <v>3.71</v>
      </c>
      <c r="G115" s="290">
        <f>E114*F115</f>
        <v>25.97</v>
      </c>
    </row>
    <row r="116" spans="1:7" ht="14.25" customHeight="1">
      <c r="A116" s="260" t="s">
        <v>72</v>
      </c>
      <c r="B116" s="635" t="s">
        <v>400</v>
      </c>
      <c r="C116" s="635"/>
      <c r="D116" s="289"/>
      <c r="E116" s="289"/>
      <c r="F116" s="289"/>
      <c r="G116" s="289"/>
    </row>
    <row r="117" spans="1:7" ht="15" customHeight="1">
      <c r="A117" s="301"/>
      <c r="B117" s="636" t="s">
        <v>116</v>
      </c>
      <c r="C117" s="636"/>
      <c r="D117" s="289" t="s">
        <v>117</v>
      </c>
      <c r="E117" s="289"/>
      <c r="F117" s="289"/>
      <c r="G117" s="289"/>
    </row>
    <row r="118" spans="1:7" ht="15" customHeight="1">
      <c r="A118" s="301"/>
      <c r="B118" s="636" t="s">
        <v>118</v>
      </c>
      <c r="C118" s="636"/>
      <c r="D118" s="289" t="s">
        <v>85</v>
      </c>
      <c r="E118" s="289"/>
      <c r="F118" s="293"/>
      <c r="G118" s="290">
        <f>E117*E118*F118</f>
        <v>0</v>
      </c>
    </row>
    <row r="119" spans="1:7" ht="18.75" customHeight="1">
      <c r="A119" s="260"/>
      <c r="B119" s="631" t="s">
        <v>123</v>
      </c>
      <c r="C119" s="632"/>
      <c r="D119" s="260"/>
      <c r="E119" s="261"/>
      <c r="F119" s="260"/>
      <c r="G119" s="263">
        <f>SUM(G100:G118)</f>
        <v>1692.8906878888968</v>
      </c>
    </row>
    <row r="120" ht="18.75" customHeight="1">
      <c r="A120" s="245"/>
    </row>
    <row r="121" ht="18.75" customHeight="1">
      <c r="A121" s="254" t="s">
        <v>124</v>
      </c>
    </row>
    <row r="122" ht="15" thickBot="1">
      <c r="A122" s="254"/>
    </row>
    <row r="123" spans="1:9" ht="29.25" customHeight="1" thickBot="1">
      <c r="A123" s="279" t="s">
        <v>37</v>
      </c>
      <c r="B123" s="297" t="s">
        <v>38</v>
      </c>
      <c r="C123" s="298"/>
      <c r="D123" s="299" t="s">
        <v>39</v>
      </c>
      <c r="E123" s="302" t="s">
        <v>207</v>
      </c>
      <c r="F123" s="280" t="s">
        <v>58</v>
      </c>
      <c r="G123" s="280" t="s">
        <v>59</v>
      </c>
      <c r="H123" s="303"/>
      <c r="I123" s="304"/>
    </row>
    <row r="124" spans="1:9" ht="15" customHeight="1">
      <c r="A124" s="272" t="s">
        <v>9</v>
      </c>
      <c r="B124" s="634" t="s">
        <v>401</v>
      </c>
      <c r="C124" s="634"/>
      <c r="D124" s="300" t="s">
        <v>96</v>
      </c>
      <c r="E124" s="300">
        <v>2</v>
      </c>
      <c r="F124" s="300"/>
      <c r="G124" s="300"/>
      <c r="H124" s="266"/>
      <c r="I124" s="304"/>
    </row>
    <row r="125" spans="1:9" ht="15" customHeight="1">
      <c r="A125" s="260" t="s">
        <v>45</v>
      </c>
      <c r="B125" s="633" t="s">
        <v>126</v>
      </c>
      <c r="C125" s="633"/>
      <c r="D125" s="289" t="s">
        <v>127</v>
      </c>
      <c r="E125" s="289">
        <v>150</v>
      </c>
      <c r="F125" s="289"/>
      <c r="G125" s="289"/>
      <c r="H125" s="266"/>
      <c r="I125" s="304"/>
    </row>
    <row r="126" spans="1:9" ht="16.5" customHeight="1">
      <c r="A126" s="260" t="s">
        <v>14</v>
      </c>
      <c r="B126" s="633" t="s">
        <v>128</v>
      </c>
      <c r="C126" s="633"/>
      <c r="D126" s="289" t="s">
        <v>91</v>
      </c>
      <c r="E126" s="289">
        <v>7</v>
      </c>
      <c r="F126" s="293">
        <f>1880.95/712.5</f>
        <v>2.6399298245614036</v>
      </c>
      <c r="G126" s="290">
        <f>E124*E126*F126</f>
        <v>36.95901754385965</v>
      </c>
      <c r="H126" s="266"/>
      <c r="I126" s="304"/>
    </row>
    <row r="127" spans="1:9" ht="14.25" customHeight="1">
      <c r="A127" s="260" t="s">
        <v>49</v>
      </c>
      <c r="B127" s="633" t="s">
        <v>130</v>
      </c>
      <c r="C127" s="633"/>
      <c r="D127" s="289" t="s">
        <v>131</v>
      </c>
      <c r="E127" s="289"/>
      <c r="F127" s="289"/>
      <c r="G127" s="290"/>
      <c r="H127" s="266"/>
      <c r="I127" s="304"/>
    </row>
    <row r="128" spans="1:9" ht="15" customHeight="1">
      <c r="A128" s="260"/>
      <c r="B128" s="633" t="s">
        <v>132</v>
      </c>
      <c r="C128" s="633"/>
      <c r="D128" s="289" t="s">
        <v>131</v>
      </c>
      <c r="E128" s="289"/>
      <c r="F128" s="289"/>
      <c r="G128" s="290">
        <f>E128*F128</f>
        <v>0</v>
      </c>
      <c r="H128" s="266"/>
      <c r="I128" s="304"/>
    </row>
    <row r="129" spans="1:9" ht="15">
      <c r="A129" s="260"/>
      <c r="B129" s="633" t="s">
        <v>133</v>
      </c>
      <c r="C129" s="633"/>
      <c r="D129" s="289" t="s">
        <v>131</v>
      </c>
      <c r="E129" s="292"/>
      <c r="F129" s="289"/>
      <c r="G129" s="290">
        <f>E129*F129</f>
        <v>0</v>
      </c>
      <c r="H129" s="266"/>
      <c r="I129" s="304"/>
    </row>
    <row r="130" spans="1:9" ht="15">
      <c r="A130" s="260"/>
      <c r="B130" s="633" t="s">
        <v>134</v>
      </c>
      <c r="C130" s="633"/>
      <c r="D130" s="289" t="s">
        <v>131</v>
      </c>
      <c r="E130" s="289">
        <f>12/100*E125</f>
        <v>18</v>
      </c>
      <c r="F130" s="289">
        <v>8.38</v>
      </c>
      <c r="G130" s="290">
        <f>E130*F130</f>
        <v>150.84</v>
      </c>
      <c r="H130" s="266"/>
      <c r="I130" s="304"/>
    </row>
    <row r="131" spans="1:9" ht="15">
      <c r="A131" s="260"/>
      <c r="B131" s="631" t="s">
        <v>135</v>
      </c>
      <c r="C131" s="632"/>
      <c r="D131" s="260"/>
      <c r="E131" s="261"/>
      <c r="F131" s="260"/>
      <c r="G131" s="263">
        <f>SUM(G124:G130)</f>
        <v>187.79901754385966</v>
      </c>
      <c r="H131" s="266"/>
      <c r="I131" s="304"/>
    </row>
    <row r="132" spans="1:9" ht="12.75">
      <c r="A132" s="296"/>
      <c r="B132" s="296"/>
      <c r="C132" s="296"/>
      <c r="D132" s="296"/>
      <c r="E132" s="296"/>
      <c r="F132" s="296"/>
      <c r="G132" s="296"/>
      <c r="H132" s="296"/>
      <c r="I132" s="296"/>
    </row>
    <row r="133" ht="15" thickBot="1">
      <c r="A133" s="254" t="s">
        <v>136</v>
      </c>
    </row>
    <row r="134" spans="1:7" ht="28.5" customHeight="1" thickBot="1">
      <c r="A134" s="279" t="s">
        <v>37</v>
      </c>
      <c r="B134" s="297" t="s">
        <v>38</v>
      </c>
      <c r="C134" s="298"/>
      <c r="D134" s="280" t="s">
        <v>39</v>
      </c>
      <c r="E134" s="280" t="s">
        <v>207</v>
      </c>
      <c r="F134" s="280" t="s">
        <v>58</v>
      </c>
      <c r="G134" s="280" t="s">
        <v>59</v>
      </c>
    </row>
    <row r="135" spans="1:7" ht="14.25" customHeight="1">
      <c r="A135" s="272" t="s">
        <v>9</v>
      </c>
      <c r="B135" s="634" t="s">
        <v>137</v>
      </c>
      <c r="C135" s="634"/>
      <c r="D135" s="272"/>
      <c r="E135" s="300"/>
      <c r="F135" s="300"/>
      <c r="G135" s="300"/>
    </row>
    <row r="136" spans="1:7" ht="14.25" customHeight="1">
      <c r="A136" s="260" t="s">
        <v>45</v>
      </c>
      <c r="B136" s="633" t="s">
        <v>139</v>
      </c>
      <c r="C136" s="633"/>
      <c r="D136" s="648"/>
      <c r="E136" s="648"/>
      <c r="F136" s="648"/>
      <c r="G136" s="648"/>
    </row>
    <row r="137" spans="1:7" ht="14.25" customHeight="1">
      <c r="A137" s="260" t="s">
        <v>14</v>
      </c>
      <c r="B137" s="633" t="s">
        <v>140</v>
      </c>
      <c r="C137" s="633"/>
      <c r="D137" s="648"/>
      <c r="E137" s="648"/>
      <c r="F137" s="648"/>
      <c r="G137" s="648"/>
    </row>
    <row r="138" spans="1:7" ht="15" customHeight="1">
      <c r="A138" s="260" t="s">
        <v>49</v>
      </c>
      <c r="B138" s="633" t="s">
        <v>141</v>
      </c>
      <c r="C138" s="633"/>
      <c r="D138" s="260" t="s">
        <v>402</v>
      </c>
      <c r="E138" s="289"/>
      <c r="F138" s="337"/>
      <c r="G138" s="312">
        <f>E138*F138*E135</f>
        <v>0</v>
      </c>
    </row>
    <row r="139" spans="1:7" ht="15" customHeight="1">
      <c r="A139" s="260" t="s">
        <v>19</v>
      </c>
      <c r="B139" s="633" t="s">
        <v>142</v>
      </c>
      <c r="C139" s="633"/>
      <c r="D139" s="260" t="s">
        <v>402</v>
      </c>
      <c r="E139" s="289"/>
      <c r="F139" s="337"/>
      <c r="G139" s="312">
        <f>E139*F139*E135</f>
        <v>0</v>
      </c>
    </row>
    <row r="140" spans="1:7" ht="15" customHeight="1">
      <c r="A140" s="260" t="s">
        <v>54</v>
      </c>
      <c r="B140" s="633" t="s">
        <v>143</v>
      </c>
      <c r="C140" s="633"/>
      <c r="D140" s="260" t="s">
        <v>85</v>
      </c>
      <c r="E140" s="289"/>
      <c r="F140" s="289"/>
      <c r="G140" s="289"/>
    </row>
    <row r="141" spans="1:7" ht="15" customHeight="1">
      <c r="A141" s="260" t="s">
        <v>22</v>
      </c>
      <c r="B141" s="633" t="s">
        <v>144</v>
      </c>
      <c r="C141" s="633"/>
      <c r="D141" s="260" t="s">
        <v>85</v>
      </c>
      <c r="E141" s="289"/>
      <c r="F141" s="289"/>
      <c r="G141" s="289">
        <f>E135*F141</f>
        <v>0</v>
      </c>
    </row>
    <row r="142" spans="1:7" ht="15" customHeight="1">
      <c r="A142" s="260" t="s">
        <v>72</v>
      </c>
      <c r="B142" s="633" t="s">
        <v>145</v>
      </c>
      <c r="C142" s="633"/>
      <c r="D142" s="260" t="s">
        <v>85</v>
      </c>
      <c r="E142" s="289"/>
      <c r="F142" s="289"/>
      <c r="G142" s="289">
        <f>E135*F142</f>
        <v>0</v>
      </c>
    </row>
    <row r="143" spans="1:7" ht="15" customHeight="1">
      <c r="A143" s="260" t="s">
        <v>26</v>
      </c>
      <c r="B143" s="633" t="s">
        <v>146</v>
      </c>
      <c r="C143" s="633"/>
      <c r="D143" s="260" t="s">
        <v>85</v>
      </c>
      <c r="E143" s="289"/>
      <c r="F143" s="289"/>
      <c r="G143" s="289">
        <f>F143</f>
        <v>0</v>
      </c>
    </row>
    <row r="144" spans="1:7" ht="15" customHeight="1">
      <c r="A144" s="260"/>
      <c r="B144" s="631" t="s">
        <v>147</v>
      </c>
      <c r="C144" s="632"/>
      <c r="D144" s="260"/>
      <c r="E144" s="261"/>
      <c r="F144" s="260"/>
      <c r="G144" s="263">
        <f>SUM(G138:G143)</f>
        <v>0</v>
      </c>
    </row>
    <row r="145" ht="14.25">
      <c r="A145" s="245"/>
    </row>
    <row r="146" ht="14.25">
      <c r="A146" s="245"/>
    </row>
    <row r="147" ht="14.25">
      <c r="A147" s="245"/>
    </row>
    <row r="148" ht="14.25">
      <c r="A148" s="245"/>
    </row>
    <row r="149" ht="14.25">
      <c r="A149" s="254" t="s">
        <v>148</v>
      </c>
    </row>
    <row r="150" ht="15" thickBot="1">
      <c r="A150" s="254"/>
    </row>
    <row r="151" spans="1:7" ht="28.5" customHeight="1" thickBot="1">
      <c r="A151" s="279" t="s">
        <v>37</v>
      </c>
      <c r="B151" s="652" t="s">
        <v>38</v>
      </c>
      <c r="C151" s="653"/>
      <c r="D151" s="299" t="s">
        <v>39</v>
      </c>
      <c r="E151" s="280" t="s">
        <v>207</v>
      </c>
      <c r="F151" s="280" t="s">
        <v>58</v>
      </c>
      <c r="G151" s="280" t="s">
        <v>59</v>
      </c>
    </row>
    <row r="152" spans="1:7" ht="14.25" customHeight="1">
      <c r="A152" s="272" t="s">
        <v>9</v>
      </c>
      <c r="B152" s="634" t="s">
        <v>149</v>
      </c>
      <c r="C152" s="634"/>
      <c r="D152" s="272" t="s">
        <v>85</v>
      </c>
      <c r="E152" s="300"/>
      <c r="F152" s="300"/>
      <c r="G152" s="300"/>
    </row>
    <row r="153" spans="1:7" ht="14.25" customHeight="1">
      <c r="A153" s="260" t="s">
        <v>45</v>
      </c>
      <c r="B153" s="633" t="s">
        <v>499</v>
      </c>
      <c r="C153" s="633"/>
      <c r="D153" s="260" t="s">
        <v>85</v>
      </c>
      <c r="E153" s="289"/>
      <c r="F153" s="289"/>
      <c r="G153" s="289">
        <v>40</v>
      </c>
    </row>
    <row r="154" spans="1:7" ht="15" customHeight="1">
      <c r="A154" s="260" t="s">
        <v>14</v>
      </c>
      <c r="B154" s="633" t="s">
        <v>405</v>
      </c>
      <c r="C154" s="633"/>
      <c r="D154" s="260" t="s">
        <v>96</v>
      </c>
      <c r="E154" s="289">
        <v>5</v>
      </c>
      <c r="F154" s="289">
        <v>271.78</v>
      </c>
      <c r="G154" s="290">
        <f>E154*F154</f>
        <v>1358.8999999999999</v>
      </c>
    </row>
    <row r="155" spans="1:7" ht="14.25">
      <c r="A155" s="260" t="s">
        <v>49</v>
      </c>
      <c r="B155" s="633" t="s">
        <v>152</v>
      </c>
      <c r="C155" s="633"/>
      <c r="D155" s="260" t="s">
        <v>96</v>
      </c>
      <c r="E155" s="289"/>
      <c r="F155" s="292">
        <v>14</v>
      </c>
      <c r="G155" s="289">
        <f>E155*F155</f>
        <v>0</v>
      </c>
    </row>
    <row r="156" spans="1:7" ht="15" customHeight="1">
      <c r="A156" s="260" t="s">
        <v>19</v>
      </c>
      <c r="B156" s="633" t="s">
        <v>466</v>
      </c>
      <c r="C156" s="633"/>
      <c r="D156" s="260"/>
      <c r="E156" s="289"/>
      <c r="F156" s="289"/>
      <c r="G156" s="289"/>
    </row>
    <row r="157" spans="1:7" ht="15" customHeight="1">
      <c r="A157" s="260" t="s">
        <v>54</v>
      </c>
      <c r="B157" s="633" t="s">
        <v>154</v>
      </c>
      <c r="C157" s="633"/>
      <c r="D157" s="260"/>
      <c r="E157" s="289">
        <v>1</v>
      </c>
      <c r="F157" s="289"/>
      <c r="G157" s="289"/>
    </row>
    <row r="158" spans="1:7" ht="15" customHeight="1">
      <c r="A158" s="260" t="s">
        <v>22</v>
      </c>
      <c r="B158" s="633" t="s">
        <v>155</v>
      </c>
      <c r="C158" s="633"/>
      <c r="D158" s="260"/>
      <c r="E158" s="289">
        <v>1</v>
      </c>
      <c r="F158" s="293"/>
      <c r="G158" s="289"/>
    </row>
    <row r="159" spans="1:7" ht="15" customHeight="1">
      <c r="A159" s="260" t="s">
        <v>72</v>
      </c>
      <c r="B159" s="633" t="s">
        <v>156</v>
      </c>
      <c r="C159" s="633"/>
      <c r="D159" s="260"/>
      <c r="E159" s="289">
        <v>1</v>
      </c>
      <c r="F159" s="289"/>
      <c r="G159" s="289"/>
    </row>
    <row r="160" spans="1:7" ht="15" customHeight="1">
      <c r="A160" s="260" t="s">
        <v>26</v>
      </c>
      <c r="B160" s="633" t="s">
        <v>306</v>
      </c>
      <c r="C160" s="633"/>
      <c r="D160" s="260" t="s">
        <v>85</v>
      </c>
      <c r="E160" s="289"/>
      <c r="F160" s="289"/>
      <c r="G160" s="289"/>
    </row>
    <row r="161" spans="1:7" ht="15" customHeight="1">
      <c r="A161" s="260"/>
      <c r="B161" s="631" t="s">
        <v>158</v>
      </c>
      <c r="C161" s="632"/>
      <c r="D161" s="260"/>
      <c r="E161" s="261"/>
      <c r="F161" s="260"/>
      <c r="G161" s="263">
        <f>SUM(G152:G160)</f>
        <v>1398.8999999999999</v>
      </c>
    </row>
    <row r="162" ht="14.25">
      <c r="A162" s="245"/>
    </row>
    <row r="163" ht="14.25">
      <c r="A163" s="254" t="s">
        <v>159</v>
      </c>
    </row>
    <row r="164" ht="15" thickBot="1">
      <c r="A164" s="254"/>
    </row>
    <row r="165" spans="1:7" ht="28.5" customHeight="1">
      <c r="A165" s="637" t="s">
        <v>37</v>
      </c>
      <c r="B165" s="642" t="s">
        <v>38</v>
      </c>
      <c r="C165" s="643"/>
      <c r="D165" s="255" t="s">
        <v>39</v>
      </c>
      <c r="E165" s="256" t="s">
        <v>207</v>
      </c>
      <c r="F165" s="256" t="s">
        <v>58</v>
      </c>
      <c r="G165" s="256" t="s">
        <v>59</v>
      </c>
    </row>
    <row r="166" spans="1:7" ht="15" customHeight="1" thickBot="1">
      <c r="A166" s="638"/>
      <c r="B166" s="644"/>
      <c r="C166" s="645"/>
      <c r="D166" s="257"/>
      <c r="E166" s="258"/>
      <c r="F166" s="258"/>
      <c r="G166" s="258"/>
    </row>
    <row r="167" spans="1:7" ht="15" customHeight="1">
      <c r="A167" s="272" t="s">
        <v>9</v>
      </c>
      <c r="B167" s="646" t="s">
        <v>160</v>
      </c>
      <c r="C167" s="647"/>
      <c r="D167" s="272" t="s">
        <v>85</v>
      </c>
      <c r="E167" s="272"/>
      <c r="F167" s="272"/>
      <c r="G167" s="272">
        <f>E167*F167</f>
        <v>0</v>
      </c>
    </row>
    <row r="168" spans="1:7" ht="15" customHeight="1">
      <c r="A168" s="260"/>
      <c r="B168" s="658"/>
      <c r="C168" s="658"/>
      <c r="D168" s="260"/>
      <c r="E168" s="260"/>
      <c r="F168" s="260"/>
      <c r="G168" s="260"/>
    </row>
    <row r="169" spans="1:7" ht="15" customHeight="1">
      <c r="A169" s="260"/>
      <c r="B169" s="631" t="s">
        <v>161</v>
      </c>
      <c r="C169" s="632"/>
      <c r="D169" s="260"/>
      <c r="E169" s="260"/>
      <c r="F169" s="260"/>
      <c r="G169" s="260">
        <f>SUM(G167:G168)</f>
        <v>0</v>
      </c>
    </row>
    <row r="170" ht="15" customHeight="1">
      <c r="A170" s="245"/>
    </row>
    <row r="171" ht="14.25">
      <c r="A171" s="254" t="s">
        <v>162</v>
      </c>
    </row>
    <row r="172" ht="15" thickBot="1">
      <c r="A172" s="254"/>
    </row>
    <row r="173" spans="1:7" ht="28.5" customHeight="1" thickBot="1">
      <c r="A173" s="279" t="s">
        <v>37</v>
      </c>
      <c r="B173" s="652" t="s">
        <v>38</v>
      </c>
      <c r="C173" s="653"/>
      <c r="D173" s="299" t="s">
        <v>39</v>
      </c>
      <c r="E173" s="280" t="s">
        <v>207</v>
      </c>
      <c r="F173" s="280" t="s">
        <v>58</v>
      </c>
      <c r="G173" s="280" t="s">
        <v>59</v>
      </c>
    </row>
    <row r="174" spans="1:7" ht="14.25" customHeight="1">
      <c r="A174" s="272" t="s">
        <v>9</v>
      </c>
      <c r="B174" s="634" t="s">
        <v>163</v>
      </c>
      <c r="C174" s="634"/>
      <c r="D174" s="272"/>
      <c r="E174" s="272"/>
      <c r="F174" s="272"/>
      <c r="G174" s="272"/>
    </row>
    <row r="175" spans="1:7" ht="14.25" customHeight="1">
      <c r="A175" s="260"/>
      <c r="B175" s="633" t="s">
        <v>164</v>
      </c>
      <c r="C175" s="633"/>
      <c r="D175" s="260" t="s">
        <v>165</v>
      </c>
      <c r="E175" s="289"/>
      <c r="F175" s="289"/>
      <c r="G175" s="289">
        <f>E175*F175</f>
        <v>0</v>
      </c>
    </row>
    <row r="176" spans="1:7" ht="14.25" customHeight="1">
      <c r="A176" s="260"/>
      <c r="B176" s="633" t="s">
        <v>167</v>
      </c>
      <c r="C176" s="633"/>
      <c r="D176" s="260" t="s">
        <v>165</v>
      </c>
      <c r="E176" s="289"/>
      <c r="F176" s="289"/>
      <c r="G176" s="289">
        <f>E176*F176</f>
        <v>0</v>
      </c>
    </row>
    <row r="177" spans="1:7" ht="14.25" customHeight="1">
      <c r="A177" s="260"/>
      <c r="B177" s="633" t="s">
        <v>168</v>
      </c>
      <c r="C177" s="633"/>
      <c r="D177" s="260" t="s">
        <v>165</v>
      </c>
      <c r="E177" s="289" t="s">
        <v>359</v>
      </c>
      <c r="F177" s="289">
        <v>49</v>
      </c>
      <c r="G177" s="289">
        <f>6*60*F177</f>
        <v>17640</v>
      </c>
    </row>
    <row r="178" spans="1:7" ht="29.25" customHeight="1">
      <c r="A178" s="260" t="s">
        <v>45</v>
      </c>
      <c r="B178" s="633" t="s">
        <v>170</v>
      </c>
      <c r="C178" s="633"/>
      <c r="D178" s="260" t="s">
        <v>165</v>
      </c>
      <c r="E178" s="289"/>
      <c r="F178" s="292"/>
      <c r="G178" s="289">
        <f>E178*F178</f>
        <v>0</v>
      </c>
    </row>
    <row r="179" spans="1:7" ht="15" customHeight="1">
      <c r="A179" s="260" t="s">
        <v>14</v>
      </c>
      <c r="B179" s="633" t="s">
        <v>171</v>
      </c>
      <c r="C179" s="633"/>
      <c r="D179" s="260" t="s">
        <v>85</v>
      </c>
      <c r="E179" s="289"/>
      <c r="F179" s="289"/>
      <c r="G179" s="289">
        <f>E179*F179</f>
        <v>0</v>
      </c>
    </row>
    <row r="180" spans="1:9" ht="15" customHeight="1">
      <c r="A180" s="260" t="s">
        <v>49</v>
      </c>
      <c r="B180" s="633" t="s">
        <v>172</v>
      </c>
      <c r="C180" s="633"/>
      <c r="D180" s="260" t="s">
        <v>91</v>
      </c>
      <c r="E180" s="289" t="s">
        <v>291</v>
      </c>
      <c r="F180" s="322">
        <f>23700*1.265/722.42</f>
        <v>41.500096896542175</v>
      </c>
      <c r="G180" s="323">
        <f>15/60*F180</f>
        <v>10.375024224135544</v>
      </c>
      <c r="H180" s="324"/>
      <c r="I180" s="324" t="s">
        <v>173</v>
      </c>
    </row>
    <row r="181" spans="1:7" ht="15" customHeight="1">
      <c r="A181" s="260" t="s">
        <v>19</v>
      </c>
      <c r="B181" s="633" t="s">
        <v>174</v>
      </c>
      <c r="C181" s="633"/>
      <c r="D181" s="260" t="s">
        <v>43</v>
      </c>
      <c r="E181" s="340" t="s">
        <v>359</v>
      </c>
      <c r="F181" s="306">
        <f>F53*1.265</f>
        <v>38.66746268656716</v>
      </c>
      <c r="G181" s="290">
        <f>6*F181</f>
        <v>232.00477611940298</v>
      </c>
    </row>
    <row r="182" spans="1:9" ht="14.25" customHeight="1">
      <c r="A182" s="260" t="s">
        <v>54</v>
      </c>
      <c r="B182" s="633" t="s">
        <v>175</v>
      </c>
      <c r="C182" s="633"/>
      <c r="D182" s="260" t="s">
        <v>43</v>
      </c>
      <c r="E182" s="329" t="s">
        <v>409</v>
      </c>
      <c r="F182" s="322">
        <f>16900*1.265/210</f>
        <v>101.80238095238096</v>
      </c>
      <c r="G182" s="290">
        <f>E182*F182</f>
        <v>610.8142857142857</v>
      </c>
      <c r="I182" s="325" t="s">
        <v>415</v>
      </c>
    </row>
    <row r="183" spans="1:7" ht="14.25" customHeight="1">
      <c r="A183" s="260" t="s">
        <v>22</v>
      </c>
      <c r="B183" s="633" t="s">
        <v>176</v>
      </c>
      <c r="C183" s="633"/>
      <c r="D183" s="260" t="s">
        <v>43</v>
      </c>
      <c r="E183" s="307"/>
      <c r="F183" s="289"/>
      <c r="G183" s="289">
        <f>E183*F183</f>
        <v>0</v>
      </c>
    </row>
    <row r="184" spans="1:7" ht="15" customHeight="1">
      <c r="A184" s="260" t="s">
        <v>72</v>
      </c>
      <c r="B184" s="633" t="s">
        <v>209</v>
      </c>
      <c r="C184" s="633"/>
      <c r="D184" s="260" t="s">
        <v>85</v>
      </c>
      <c r="E184" s="289"/>
      <c r="F184" s="289"/>
      <c r="G184" s="289">
        <f>E184*F184</f>
        <v>0</v>
      </c>
    </row>
    <row r="185" spans="1:7" ht="15" customHeight="1">
      <c r="A185" s="260"/>
      <c r="B185" s="631" t="s">
        <v>177</v>
      </c>
      <c r="C185" s="632"/>
      <c r="D185" s="260"/>
      <c r="E185" s="260"/>
      <c r="F185" s="260"/>
      <c r="G185" s="263">
        <f>SUM(G175:G184)</f>
        <v>18493.194086057825</v>
      </c>
    </row>
    <row r="186" ht="13.5" customHeight="1">
      <c r="A186" s="245"/>
    </row>
    <row r="187" ht="14.25">
      <c r="A187" s="254" t="s">
        <v>178</v>
      </c>
    </row>
    <row r="188" ht="15" thickBot="1">
      <c r="A188" s="254"/>
    </row>
    <row r="189" spans="1:7" ht="28.5" customHeight="1" thickBot="1">
      <c r="A189" s="279" t="s">
        <v>37</v>
      </c>
      <c r="B189" s="652" t="s">
        <v>38</v>
      </c>
      <c r="C189" s="653"/>
      <c r="D189" s="299" t="s">
        <v>39</v>
      </c>
      <c r="E189" s="280" t="s">
        <v>207</v>
      </c>
      <c r="F189" s="280" t="s">
        <v>58</v>
      </c>
      <c r="G189" s="280" t="s">
        <v>59</v>
      </c>
    </row>
    <row r="190" spans="1:7" ht="15" customHeight="1">
      <c r="A190" s="272" t="s">
        <v>9</v>
      </c>
      <c r="B190" s="634" t="s">
        <v>179</v>
      </c>
      <c r="C190" s="634"/>
      <c r="D190" s="272" t="s">
        <v>180</v>
      </c>
      <c r="E190" s="300"/>
      <c r="F190" s="308"/>
      <c r="G190" s="311">
        <f>E190*F190</f>
        <v>0</v>
      </c>
    </row>
    <row r="191" spans="1:7" ht="15" customHeight="1">
      <c r="A191" s="260" t="s">
        <v>45</v>
      </c>
      <c r="B191" s="633" t="s">
        <v>181</v>
      </c>
      <c r="C191" s="633"/>
      <c r="D191" s="260" t="s">
        <v>180</v>
      </c>
      <c r="E191" s="289"/>
      <c r="F191" s="306"/>
      <c r="G191" s="290">
        <f>E191*F191</f>
        <v>0</v>
      </c>
    </row>
    <row r="192" spans="1:7" ht="15" customHeight="1">
      <c r="A192" s="260" t="s">
        <v>14</v>
      </c>
      <c r="B192" s="633" t="s">
        <v>182</v>
      </c>
      <c r="C192" s="633"/>
      <c r="D192" s="260" t="s">
        <v>180</v>
      </c>
      <c r="E192" s="289"/>
      <c r="F192" s="293"/>
      <c r="G192" s="290">
        <f>E192*F192*0.5</f>
        <v>0</v>
      </c>
    </row>
    <row r="193" spans="1:7" ht="15" customHeight="1">
      <c r="A193" s="260" t="s">
        <v>49</v>
      </c>
      <c r="B193" s="633" t="s">
        <v>455</v>
      </c>
      <c r="C193" s="633"/>
      <c r="D193" s="260" t="s">
        <v>180</v>
      </c>
      <c r="E193" s="260"/>
      <c r="F193" s="260"/>
      <c r="G193" s="290">
        <f>E193*F193*0.5</f>
        <v>0</v>
      </c>
    </row>
    <row r="194" spans="1:7" ht="15" customHeight="1">
      <c r="A194" s="260"/>
      <c r="B194" s="631" t="s">
        <v>183</v>
      </c>
      <c r="C194" s="632"/>
      <c r="D194" s="260"/>
      <c r="E194" s="260"/>
      <c r="F194" s="260"/>
      <c r="G194" s="263">
        <f>SUM(G190:G193)</f>
        <v>0</v>
      </c>
    </row>
    <row r="195" ht="14.25">
      <c r="A195" s="245"/>
    </row>
    <row r="196" ht="14.25">
      <c r="A196" s="245"/>
    </row>
    <row r="197" ht="14.25">
      <c r="A197" s="245"/>
    </row>
    <row r="198" ht="14.25">
      <c r="A198" s="245"/>
    </row>
    <row r="199" ht="14.25">
      <c r="A199" s="245" t="s">
        <v>184</v>
      </c>
    </row>
    <row r="200" ht="15" thickBot="1">
      <c r="A200" s="245"/>
    </row>
    <row r="201" spans="1:7" ht="28.5" customHeight="1" thickBot="1">
      <c r="A201" s="279" t="s">
        <v>37</v>
      </c>
      <c r="B201" s="652" t="s">
        <v>38</v>
      </c>
      <c r="C201" s="653"/>
      <c r="D201" s="299" t="s">
        <v>39</v>
      </c>
      <c r="E201" s="280" t="s">
        <v>210</v>
      </c>
      <c r="F201" s="280" t="s">
        <v>58</v>
      </c>
      <c r="G201" s="280" t="s">
        <v>59</v>
      </c>
    </row>
    <row r="202" spans="1:7" ht="15" customHeight="1">
      <c r="A202" s="272" t="s">
        <v>9</v>
      </c>
      <c r="B202" s="634" t="s">
        <v>185</v>
      </c>
      <c r="C202" s="634"/>
      <c r="D202" s="272" t="s">
        <v>85</v>
      </c>
      <c r="E202" s="300">
        <v>6</v>
      </c>
      <c r="F202" s="300">
        <v>32.6</v>
      </c>
      <c r="G202" s="311">
        <f>E202*F202</f>
        <v>195.60000000000002</v>
      </c>
    </row>
    <row r="203" spans="1:10" ht="14.25" customHeight="1">
      <c r="A203" s="260" t="s">
        <v>45</v>
      </c>
      <c r="B203" s="633" t="s">
        <v>186</v>
      </c>
      <c r="C203" s="633"/>
      <c r="D203" s="260" t="s">
        <v>85</v>
      </c>
      <c r="E203" s="114"/>
      <c r="F203" s="44">
        <f>(1151.55+210.41+5.7+145.58)*1.2</f>
        <v>1815.888</v>
      </c>
      <c r="G203" s="103">
        <f>F203*E202</f>
        <v>10895.328</v>
      </c>
      <c r="H203" s="65"/>
      <c r="I203" s="65"/>
      <c r="J203" s="65"/>
    </row>
    <row r="204" spans="1:10" ht="14.25" customHeight="1">
      <c r="A204" s="260" t="s">
        <v>14</v>
      </c>
      <c r="B204" s="633" t="s">
        <v>187</v>
      </c>
      <c r="C204" s="633"/>
      <c r="D204" s="260" t="s">
        <v>85</v>
      </c>
      <c r="E204" s="114"/>
      <c r="F204" s="114"/>
      <c r="G204" s="114"/>
      <c r="H204" s="65"/>
      <c r="I204" s="65"/>
      <c r="J204" s="65"/>
    </row>
    <row r="205" spans="1:10" ht="14.25">
      <c r="A205" s="260" t="s">
        <v>49</v>
      </c>
      <c r="B205" s="633" t="s">
        <v>188</v>
      </c>
      <c r="C205" s="633"/>
      <c r="D205" s="260" t="s">
        <v>85</v>
      </c>
      <c r="E205" s="114"/>
      <c r="F205" s="114"/>
      <c r="G205" s="114"/>
      <c r="H205" s="65"/>
      <c r="I205" s="65"/>
      <c r="J205" s="65"/>
    </row>
    <row r="206" spans="1:10" ht="15" customHeight="1">
      <c r="A206" s="260" t="s">
        <v>19</v>
      </c>
      <c r="B206" s="633" t="s">
        <v>407</v>
      </c>
      <c r="C206" s="633"/>
      <c r="D206" s="260" t="s">
        <v>85</v>
      </c>
      <c r="E206" s="114"/>
      <c r="F206" s="114"/>
      <c r="G206" s="114"/>
      <c r="H206" s="65"/>
      <c r="I206" s="65"/>
      <c r="J206" s="65"/>
    </row>
    <row r="207" spans="1:10" ht="15" customHeight="1">
      <c r="A207" s="260" t="s">
        <v>54</v>
      </c>
      <c r="B207" s="633" t="s">
        <v>190</v>
      </c>
      <c r="C207" s="633"/>
      <c r="D207" s="260" t="s">
        <v>101</v>
      </c>
      <c r="E207" s="241">
        <f>J207/F207</f>
        <v>216.89790040206</v>
      </c>
      <c r="F207" s="43">
        <v>1.68</v>
      </c>
      <c r="G207" s="240">
        <f>E207*F207</f>
        <v>364.3884726754608</v>
      </c>
      <c r="H207" s="54"/>
      <c r="I207" s="448">
        <f>1288300*0.4/8485.23</f>
        <v>60.7314121125768</v>
      </c>
      <c r="J207" s="448">
        <f>I207*E202</f>
        <v>364.3884726754608</v>
      </c>
    </row>
    <row r="208" spans="1:10" ht="15" customHeight="1">
      <c r="A208" s="260" t="s">
        <v>22</v>
      </c>
      <c r="B208" s="633" t="s">
        <v>191</v>
      </c>
      <c r="C208" s="633"/>
      <c r="D208" s="260" t="s">
        <v>192</v>
      </c>
      <c r="E208" s="446">
        <f>J208/F208</f>
        <v>1.2069963144647842</v>
      </c>
      <c r="F208" s="43">
        <f>987*1.2</f>
        <v>1184.3999999999999</v>
      </c>
      <c r="G208" s="240">
        <f>E208*F208</f>
        <v>1429.5664348520902</v>
      </c>
      <c r="H208" s="54"/>
      <c r="I208" s="448">
        <f>2021700/8485.23</f>
        <v>238.26107247534836</v>
      </c>
      <c r="J208" s="448">
        <f>I208*E202</f>
        <v>1429.5664348520902</v>
      </c>
    </row>
    <row r="209" spans="1:10" ht="15" customHeight="1">
      <c r="A209" s="260" t="s">
        <v>72</v>
      </c>
      <c r="B209" s="633" t="s">
        <v>193</v>
      </c>
      <c r="C209" s="633"/>
      <c r="D209" s="260" t="s">
        <v>85</v>
      </c>
      <c r="E209" s="447"/>
      <c r="F209" s="241">
        <f>(229000+16300)/8485.23</f>
        <v>28.909057267746427</v>
      </c>
      <c r="G209" s="240">
        <f>F209*E202</f>
        <v>173.45434360647857</v>
      </c>
      <c r="H209" s="54"/>
      <c r="I209" s="54"/>
      <c r="J209" s="54"/>
    </row>
    <row r="210" spans="1:10" ht="14.25" customHeight="1">
      <c r="A210" s="260" t="s">
        <v>26</v>
      </c>
      <c r="B210" s="633" t="s">
        <v>194</v>
      </c>
      <c r="C210" s="633"/>
      <c r="D210" s="260" t="s">
        <v>85</v>
      </c>
      <c r="E210" s="447"/>
      <c r="F210" s="43">
        <v>2693.4</v>
      </c>
      <c r="G210" s="240">
        <f>F210*E202</f>
        <v>16160.400000000001</v>
      </c>
      <c r="H210" s="54"/>
      <c r="I210" s="54"/>
      <c r="J210" s="54"/>
    </row>
    <row r="211" spans="1:10" ht="15" customHeight="1">
      <c r="A211" s="260" t="s">
        <v>31</v>
      </c>
      <c r="B211" s="633" t="s">
        <v>408</v>
      </c>
      <c r="C211" s="633"/>
      <c r="D211" s="260" t="s">
        <v>85</v>
      </c>
      <c r="E211" s="447"/>
      <c r="F211" s="43">
        <v>300.6</v>
      </c>
      <c r="G211" s="240">
        <f>F211*E202</f>
        <v>1803.6000000000001</v>
      </c>
      <c r="H211" s="54"/>
      <c r="I211" s="54"/>
      <c r="J211" s="54"/>
    </row>
    <row r="212" spans="1:10" ht="15" customHeight="1">
      <c r="A212" s="260" t="s">
        <v>79</v>
      </c>
      <c r="B212" s="633" t="s">
        <v>196</v>
      </c>
      <c r="C212" s="633"/>
      <c r="D212" s="260" t="s">
        <v>85</v>
      </c>
      <c r="E212" s="447"/>
      <c r="F212" s="43">
        <v>1242.8</v>
      </c>
      <c r="G212" s="240">
        <f>F212*E202</f>
        <v>7456.799999999999</v>
      </c>
      <c r="H212" s="54"/>
      <c r="I212" s="54"/>
      <c r="J212" s="54"/>
    </row>
    <row r="213" ht="14.25">
      <c r="A213" s="245"/>
    </row>
    <row r="214" ht="14.25">
      <c r="A214" s="245" t="s">
        <v>197</v>
      </c>
    </row>
    <row r="215" ht="15" thickBot="1">
      <c r="A215" s="254"/>
    </row>
    <row r="216" spans="1:7" ht="14.25" customHeight="1">
      <c r="A216" s="637" t="s">
        <v>37</v>
      </c>
      <c r="B216" s="642" t="s">
        <v>38</v>
      </c>
      <c r="C216" s="643"/>
      <c r="D216" s="255" t="s">
        <v>198</v>
      </c>
      <c r="E216" s="642" t="s">
        <v>59</v>
      </c>
      <c r="F216" s="660"/>
      <c r="G216" s="643"/>
    </row>
    <row r="217" spans="1:7" ht="15" thickBot="1">
      <c r="A217" s="638"/>
      <c r="B217" s="644"/>
      <c r="C217" s="645"/>
      <c r="D217" s="257" t="s">
        <v>199</v>
      </c>
      <c r="E217" s="644"/>
      <c r="F217" s="661"/>
      <c r="G217" s="645"/>
    </row>
    <row r="218" spans="1:11" ht="15" customHeight="1">
      <c r="A218" s="272" t="s">
        <v>9</v>
      </c>
      <c r="B218" s="634" t="s">
        <v>200</v>
      </c>
      <c r="C218" s="634"/>
      <c r="D218" s="272" t="s">
        <v>85</v>
      </c>
      <c r="E218" s="667">
        <f>G42+G58+G62+G63+G95+G119+G131+G144+G161+G169+G185+G194</f>
        <v>31271.802269102525</v>
      </c>
      <c r="F218" s="667"/>
      <c r="G218" s="667"/>
      <c r="H218" s="313"/>
      <c r="K218" s="313"/>
    </row>
    <row r="219" spans="1:7" ht="15" customHeight="1">
      <c r="A219" s="260" t="s">
        <v>45</v>
      </c>
      <c r="B219" s="633" t="s">
        <v>201</v>
      </c>
      <c r="C219" s="633"/>
      <c r="D219" s="260" t="s">
        <v>85</v>
      </c>
      <c r="E219" s="662">
        <f>SUM(G202:G212)</f>
        <v>38479.13725113403</v>
      </c>
      <c r="F219" s="662"/>
      <c r="G219" s="662"/>
    </row>
    <row r="220" spans="1:7" ht="14.25">
      <c r="A220" s="260" t="s">
        <v>14</v>
      </c>
      <c r="B220" s="633" t="s">
        <v>202</v>
      </c>
      <c r="C220" s="633"/>
      <c r="D220" s="260" t="s">
        <v>85</v>
      </c>
      <c r="E220" s="662">
        <f>SUM(E218:G219)</f>
        <v>69750.93952023656</v>
      </c>
      <c r="F220" s="662"/>
      <c r="G220" s="662"/>
    </row>
    <row r="221" spans="1:7" ht="27.75" customHeight="1">
      <c r="A221" s="260">
        <v>4</v>
      </c>
      <c r="B221" s="633" t="s">
        <v>203</v>
      </c>
      <c r="C221" s="633"/>
      <c r="D221" s="260" t="s">
        <v>85</v>
      </c>
      <c r="E221" s="659"/>
      <c r="F221" s="659"/>
      <c r="G221" s="659"/>
    </row>
    <row r="222" spans="1:7" ht="15" customHeight="1">
      <c r="A222" s="260" t="s">
        <v>19</v>
      </c>
      <c r="B222" s="633" t="s">
        <v>204</v>
      </c>
      <c r="C222" s="633"/>
      <c r="D222" s="260" t="s">
        <v>85</v>
      </c>
      <c r="E222" s="659">
        <f>E220-E221</f>
        <v>69750.93952023656</v>
      </c>
      <c r="F222" s="659"/>
      <c r="G222" s="659"/>
    </row>
    <row r="223" spans="1:9" ht="14.25">
      <c r="A223" s="278"/>
      <c r="I223" s="282"/>
    </row>
    <row r="224" ht="14.25">
      <c r="A224" s="278"/>
    </row>
    <row r="233" ht="14.25">
      <c r="B233" s="314" t="s">
        <v>63</v>
      </c>
    </row>
    <row r="235" ht="14.25">
      <c r="B235" s="314" t="s">
        <v>206</v>
      </c>
    </row>
  </sheetData>
  <sheetProtection/>
  <mergeCells count="165">
    <mergeCell ref="B114:C114"/>
    <mergeCell ref="B119:C119"/>
    <mergeCell ref="B131:C131"/>
    <mergeCell ref="B144:C144"/>
    <mergeCell ref="B135:C135"/>
    <mergeCell ref="B136:C136"/>
    <mergeCell ref="B137:C137"/>
    <mergeCell ref="B138:C138"/>
    <mergeCell ref="B139:C139"/>
    <mergeCell ref="A31:A32"/>
    <mergeCell ref="B42:C42"/>
    <mergeCell ref="B62:C62"/>
    <mergeCell ref="B63:C63"/>
    <mergeCell ref="A38:A41"/>
    <mergeCell ref="B34:C34"/>
    <mergeCell ref="B35:C35"/>
    <mergeCell ref="B33:C33"/>
    <mergeCell ref="B39:C39"/>
    <mergeCell ref="B40:C40"/>
    <mergeCell ref="A216:A217"/>
    <mergeCell ref="B125:C125"/>
    <mergeCell ref="B126:C126"/>
    <mergeCell ref="B127:C127"/>
    <mergeCell ref="B128:C128"/>
    <mergeCell ref="B129:C129"/>
    <mergeCell ref="B130:C130"/>
    <mergeCell ref="B142:C142"/>
    <mergeCell ref="B143:C143"/>
    <mergeCell ref="B194:C194"/>
    <mergeCell ref="B189:C189"/>
    <mergeCell ref="B182:C182"/>
    <mergeCell ref="B36:C36"/>
    <mergeCell ref="B37:C37"/>
    <mergeCell ref="B38:C38"/>
    <mergeCell ref="B124:C124"/>
    <mergeCell ref="B117:C117"/>
    <mergeCell ref="B118:C118"/>
    <mergeCell ref="B113:C113"/>
    <mergeCell ref="B115:C115"/>
    <mergeCell ref="B89:C89"/>
    <mergeCell ref="A165:A166"/>
    <mergeCell ref="B165:C166"/>
    <mergeCell ref="B167:C167"/>
    <mergeCell ref="B174:C174"/>
    <mergeCell ref="B175:C175"/>
    <mergeCell ref="B116:C116"/>
    <mergeCell ref="B141:C141"/>
    <mergeCell ref="B140:C140"/>
    <mergeCell ref="B95:C95"/>
    <mergeCell ref="B112:C112"/>
    <mergeCell ref="D136:G136"/>
    <mergeCell ref="D137:G137"/>
    <mergeCell ref="B85:C85"/>
    <mergeCell ref="B83:C83"/>
    <mergeCell ref="B84:C84"/>
    <mergeCell ref="A86:C86"/>
    <mergeCell ref="A87:C87"/>
    <mergeCell ref="B101:C101"/>
    <mergeCell ref="B88:C88"/>
    <mergeCell ref="B73:C73"/>
    <mergeCell ref="B153:C153"/>
    <mergeCell ref="B154:C154"/>
    <mergeCell ref="B105:C105"/>
    <mergeCell ref="B102:C102"/>
    <mergeCell ref="B103:C103"/>
    <mergeCell ref="B108:C108"/>
    <mergeCell ref="B109:C109"/>
    <mergeCell ref="B110:C110"/>
    <mergeCell ref="B111:C111"/>
    <mergeCell ref="E47:E48"/>
    <mergeCell ref="B80:C80"/>
    <mergeCell ref="B104:C104"/>
    <mergeCell ref="B69:C69"/>
    <mergeCell ref="B70:C70"/>
    <mergeCell ref="A81:C81"/>
    <mergeCell ref="A82:C82"/>
    <mergeCell ref="B90:C90"/>
    <mergeCell ref="B71:C71"/>
    <mergeCell ref="B72:C72"/>
    <mergeCell ref="B93:C93"/>
    <mergeCell ref="B94:C94"/>
    <mergeCell ref="A92:C92"/>
    <mergeCell ref="B74:C74"/>
    <mergeCell ref="G47:G48"/>
    <mergeCell ref="B79:C79"/>
    <mergeCell ref="A67:C67"/>
    <mergeCell ref="A47:A48"/>
    <mergeCell ref="F47:F48"/>
    <mergeCell ref="A68:C68"/>
    <mergeCell ref="B157:C157"/>
    <mergeCell ref="B156:C156"/>
    <mergeCell ref="B173:C173"/>
    <mergeCell ref="B106:C106"/>
    <mergeCell ref="B107:C107"/>
    <mergeCell ref="B75:C75"/>
    <mergeCell ref="B76:C76"/>
    <mergeCell ref="B77:C77"/>
    <mergeCell ref="B78:C78"/>
    <mergeCell ref="B100:C100"/>
    <mergeCell ref="B190:C190"/>
    <mergeCell ref="B191:C191"/>
    <mergeCell ref="B192:C192"/>
    <mergeCell ref="B151:C151"/>
    <mergeCell ref="B179:C179"/>
    <mergeCell ref="B160:C160"/>
    <mergeCell ref="B159:C159"/>
    <mergeCell ref="B155:C155"/>
    <mergeCell ref="B152:C152"/>
    <mergeCell ref="B158:C158"/>
    <mergeCell ref="B202:C202"/>
    <mergeCell ref="B177:C177"/>
    <mergeCell ref="B168:C168"/>
    <mergeCell ref="B169:C169"/>
    <mergeCell ref="B201:C201"/>
    <mergeCell ref="B193:C193"/>
    <mergeCell ref="B183:C183"/>
    <mergeCell ref="B184:C184"/>
    <mergeCell ref="B180:C180"/>
    <mergeCell ref="B181:C181"/>
    <mergeCell ref="E219:G219"/>
    <mergeCell ref="B204:C204"/>
    <mergeCell ref="B205:C205"/>
    <mergeCell ref="B206:C206"/>
    <mergeCell ref="B207:C207"/>
    <mergeCell ref="B161:C161"/>
    <mergeCell ref="B176:C176"/>
    <mergeCell ref="B185:C185"/>
    <mergeCell ref="B203:C203"/>
    <mergeCell ref="B178:C178"/>
    <mergeCell ref="B220:C220"/>
    <mergeCell ref="B208:C208"/>
    <mergeCell ref="B209:C209"/>
    <mergeCell ref="E221:G221"/>
    <mergeCell ref="B210:C210"/>
    <mergeCell ref="B211:C211"/>
    <mergeCell ref="B212:C212"/>
    <mergeCell ref="E216:G217"/>
    <mergeCell ref="B221:C221"/>
    <mergeCell ref="B216:C217"/>
    <mergeCell ref="E222:G222"/>
    <mergeCell ref="B47:C47"/>
    <mergeCell ref="B66:C66"/>
    <mergeCell ref="B61:C61"/>
    <mergeCell ref="D47:D48"/>
    <mergeCell ref="B222:C222"/>
    <mergeCell ref="E218:G218"/>
    <mergeCell ref="E220:G220"/>
    <mergeCell ref="B218:C218"/>
    <mergeCell ref="B219:C219"/>
    <mergeCell ref="D18:E18"/>
    <mergeCell ref="D20:E20"/>
    <mergeCell ref="D14:E14"/>
    <mergeCell ref="B31:C32"/>
    <mergeCell ref="B26:G26"/>
    <mergeCell ref="C24:G24"/>
    <mergeCell ref="A7:G7"/>
    <mergeCell ref="A8:G8"/>
    <mergeCell ref="A9:G9"/>
    <mergeCell ref="B25:G25"/>
    <mergeCell ref="F14:G14"/>
    <mergeCell ref="F16:G16"/>
    <mergeCell ref="F18:G18"/>
    <mergeCell ref="F20:G20"/>
    <mergeCell ref="F22:G22"/>
    <mergeCell ref="D16:E16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216"/>
  <sheetViews>
    <sheetView zoomScalePageLayoutView="0" workbookViewId="0" topLeftCell="A4">
      <selection activeCell="J210" sqref="J210"/>
    </sheetView>
  </sheetViews>
  <sheetFormatPr defaultColWidth="9.00390625" defaultRowHeight="12.75"/>
  <cols>
    <col min="1" max="1" width="5.625" style="344" customWidth="1"/>
    <col min="2" max="2" width="16.00390625" style="344" customWidth="1"/>
    <col min="3" max="3" width="33.875" style="344" customWidth="1"/>
    <col min="4" max="4" width="9.625" style="344" customWidth="1"/>
    <col min="5" max="5" width="10.375" style="344" customWidth="1"/>
    <col min="6" max="7" width="11.875" style="344" customWidth="1"/>
    <col min="8" max="16384" width="9.125" style="344" customWidth="1"/>
  </cols>
  <sheetData>
    <row r="1" spans="1:6" ht="18">
      <c r="A1" s="242" t="s">
        <v>0</v>
      </c>
      <c r="B1" s="243"/>
      <c r="C1" s="243"/>
      <c r="D1" s="242" t="s">
        <v>1</v>
      </c>
      <c r="E1" s="243"/>
      <c r="F1" s="243"/>
    </row>
    <row r="2" spans="1:6" ht="18">
      <c r="A2" s="242" t="s">
        <v>2</v>
      </c>
      <c r="B2" s="243"/>
      <c r="C2" s="243"/>
      <c r="D2" s="244" t="s">
        <v>3</v>
      </c>
      <c r="E2" s="243"/>
      <c r="F2" s="243"/>
    </row>
    <row r="3" spans="1:6" ht="18">
      <c r="A3" s="243"/>
      <c r="B3" s="243"/>
      <c r="C3" s="243"/>
      <c r="D3" s="244" t="s">
        <v>4</v>
      </c>
      <c r="E3" s="243"/>
      <c r="F3" s="243"/>
    </row>
    <row r="7" spans="1:7" ht="18">
      <c r="A7" s="713" t="s">
        <v>5</v>
      </c>
      <c r="B7" s="713"/>
      <c r="C7" s="713"/>
      <c r="D7" s="713"/>
      <c r="E7" s="713"/>
      <c r="F7" s="713"/>
      <c r="G7" s="713"/>
    </row>
    <row r="8" spans="1:7" ht="18">
      <c r="A8" s="714" t="s">
        <v>6</v>
      </c>
      <c r="B8" s="714"/>
      <c r="C8" s="714"/>
      <c r="D8" s="714"/>
      <c r="E8" s="714"/>
      <c r="F8" s="714"/>
      <c r="G8" s="714"/>
    </row>
    <row r="9" spans="1:7" ht="18">
      <c r="A9" s="713" t="s">
        <v>7</v>
      </c>
      <c r="B9" s="713"/>
      <c r="C9" s="713"/>
      <c r="D9" s="713"/>
      <c r="E9" s="713"/>
      <c r="F9" s="713"/>
      <c r="G9" s="713"/>
    </row>
    <row r="14" ht="14.25">
      <c r="A14" s="345" t="s">
        <v>8</v>
      </c>
    </row>
    <row r="15" ht="13.5" thickBot="1"/>
    <row r="16" spans="1:7" ht="42.75" customHeight="1" thickBot="1">
      <c r="A16" s="346" t="s">
        <v>9</v>
      </c>
      <c r="B16" s="347" t="s">
        <v>10</v>
      </c>
      <c r="C16" s="347" t="s">
        <v>522</v>
      </c>
      <c r="D16" s="702" t="s">
        <v>12</v>
      </c>
      <c r="E16" s="703"/>
      <c r="F16" s="702" t="s">
        <v>523</v>
      </c>
      <c r="G16" s="703"/>
    </row>
    <row r="17" ht="13.5" thickBot="1">
      <c r="A17" s="349"/>
    </row>
    <row r="18" spans="1:7" ht="43.5" customHeight="1" thickBot="1">
      <c r="A18" s="346" t="s">
        <v>14</v>
      </c>
      <c r="B18" s="347" t="s">
        <v>15</v>
      </c>
      <c r="C18" s="347" t="s">
        <v>375</v>
      </c>
      <c r="D18" s="702" t="s">
        <v>17</v>
      </c>
      <c r="E18" s="703"/>
      <c r="F18" s="702" t="s">
        <v>524</v>
      </c>
      <c r="G18" s="703"/>
    </row>
    <row r="19" ht="13.5" thickBot="1">
      <c r="A19" s="349"/>
    </row>
    <row r="20" spans="1:7" ht="43.5" customHeight="1" thickBot="1">
      <c r="A20" s="346" t="s">
        <v>19</v>
      </c>
      <c r="B20" s="347" t="s">
        <v>20</v>
      </c>
      <c r="C20" s="348">
        <v>22</v>
      </c>
      <c r="D20" s="702" t="s">
        <v>21</v>
      </c>
      <c r="E20" s="703"/>
      <c r="F20" s="702" t="s">
        <v>571</v>
      </c>
      <c r="G20" s="703"/>
    </row>
    <row r="21" ht="13.5" thickBot="1">
      <c r="A21" s="349"/>
    </row>
    <row r="22" spans="1:7" ht="43.5" customHeight="1" thickBot="1">
      <c r="A22" s="346" t="s">
        <v>22</v>
      </c>
      <c r="B22" s="347" t="s">
        <v>23</v>
      </c>
      <c r="C22" s="347" t="s">
        <v>360</v>
      </c>
      <c r="D22" s="702" t="s">
        <v>25</v>
      </c>
      <c r="E22" s="703"/>
      <c r="F22" s="702"/>
      <c r="G22" s="703"/>
    </row>
    <row r="23" ht="13.5" thickBot="1">
      <c r="A23" s="349"/>
    </row>
    <row r="24" spans="1:7" ht="29.25" customHeight="1" thickBot="1">
      <c r="A24" s="346" t="s">
        <v>26</v>
      </c>
      <c r="B24" s="347" t="s">
        <v>27</v>
      </c>
      <c r="C24" s="350" t="s">
        <v>28</v>
      </c>
      <c r="D24" s="715" t="s">
        <v>29</v>
      </c>
      <c r="E24" s="716"/>
      <c r="F24" s="704" t="s">
        <v>30</v>
      </c>
      <c r="G24" s="705"/>
    </row>
    <row r="25" ht="13.5" thickBot="1">
      <c r="A25" s="349"/>
    </row>
    <row r="26" spans="1:7" ht="15" thickBot="1">
      <c r="A26" s="351" t="s">
        <v>31</v>
      </c>
      <c r="B26" s="352" t="s">
        <v>32</v>
      </c>
      <c r="C26" s="706" t="s">
        <v>525</v>
      </c>
      <c r="D26" s="707"/>
      <c r="E26" s="707"/>
      <c r="F26" s="707"/>
      <c r="G26" s="708"/>
    </row>
    <row r="27" spans="1:7" ht="15" thickBot="1">
      <c r="A27" s="353"/>
      <c r="B27" s="706"/>
      <c r="C27" s="707"/>
      <c r="D27" s="707"/>
      <c r="E27" s="707"/>
      <c r="F27" s="707"/>
      <c r="G27" s="708"/>
    </row>
    <row r="28" spans="1:7" ht="15" thickBot="1">
      <c r="A28" s="353"/>
      <c r="B28" s="706"/>
      <c r="C28" s="707"/>
      <c r="D28" s="707"/>
      <c r="E28" s="707"/>
      <c r="F28" s="707"/>
      <c r="G28" s="708"/>
    </row>
    <row r="30" ht="14.25">
      <c r="A30" s="345" t="s">
        <v>35</v>
      </c>
    </row>
    <row r="31" ht="14.25">
      <c r="A31" s="345"/>
    </row>
    <row r="32" ht="15" thickBot="1">
      <c r="A32" s="354" t="s">
        <v>36</v>
      </c>
    </row>
    <row r="33" spans="1:7" ht="28.5">
      <c r="A33" s="683" t="s">
        <v>37</v>
      </c>
      <c r="B33" s="691" t="s">
        <v>38</v>
      </c>
      <c r="C33" s="692"/>
      <c r="D33" s="355" t="s">
        <v>39</v>
      </c>
      <c r="E33" s="356" t="s">
        <v>207</v>
      </c>
      <c r="F33" s="356" t="s">
        <v>40</v>
      </c>
      <c r="G33" s="356" t="s">
        <v>41</v>
      </c>
    </row>
    <row r="34" spans="1:7" ht="18.75" customHeight="1" thickBot="1">
      <c r="A34" s="686"/>
      <c r="B34" s="709"/>
      <c r="C34" s="710"/>
      <c r="D34" s="357"/>
      <c r="E34" s="358"/>
      <c r="F34" s="358"/>
      <c r="G34" s="358"/>
    </row>
    <row r="35" spans="1:7" ht="14.25">
      <c r="A35" s="407">
        <v>1</v>
      </c>
      <c r="B35" s="711">
        <v>2</v>
      </c>
      <c r="C35" s="712"/>
      <c r="D35" s="408">
        <v>3</v>
      </c>
      <c r="E35" s="409">
        <v>4</v>
      </c>
      <c r="F35" s="409">
        <v>5</v>
      </c>
      <c r="G35" s="409">
        <v>6</v>
      </c>
    </row>
    <row r="36" spans="1:7" ht="15" customHeight="1">
      <c r="A36" s="410" t="s">
        <v>9</v>
      </c>
      <c r="B36" s="678" t="s">
        <v>526</v>
      </c>
      <c r="C36" s="678"/>
      <c r="D36" s="410" t="s">
        <v>43</v>
      </c>
      <c r="E36" s="410">
        <v>4</v>
      </c>
      <c r="F36" s="422">
        <f>F52/22</f>
        <v>1.6818863295624915</v>
      </c>
      <c r="G36" s="423">
        <f aca="true" t="shared" si="0" ref="G36:G43">E36*F36</f>
        <v>6.727545318249966</v>
      </c>
    </row>
    <row r="37" spans="1:7" ht="15" customHeight="1">
      <c r="A37" s="410" t="s">
        <v>45</v>
      </c>
      <c r="B37" s="678" t="s">
        <v>527</v>
      </c>
      <c r="C37" s="678"/>
      <c r="D37" s="410" t="s">
        <v>43</v>
      </c>
      <c r="E37" s="410">
        <v>6</v>
      </c>
      <c r="F37" s="422">
        <f>F52/22</f>
        <v>1.6818863295624915</v>
      </c>
      <c r="G37" s="423">
        <f t="shared" si="0"/>
        <v>10.091317977374949</v>
      </c>
    </row>
    <row r="38" spans="1:7" ht="15" customHeight="1">
      <c r="A38" s="410" t="s">
        <v>14</v>
      </c>
      <c r="B38" s="678" t="s">
        <v>528</v>
      </c>
      <c r="C38" s="678"/>
      <c r="D38" s="410" t="s">
        <v>43</v>
      </c>
      <c r="E38" s="410">
        <v>2</v>
      </c>
      <c r="F38" s="422">
        <f>F52/22</f>
        <v>1.6818863295624915</v>
      </c>
      <c r="G38" s="423">
        <f t="shared" si="0"/>
        <v>3.363772659124983</v>
      </c>
    </row>
    <row r="39" spans="1:7" ht="15" customHeight="1">
      <c r="A39" s="410" t="s">
        <v>49</v>
      </c>
      <c r="B39" s="678" t="s">
        <v>50</v>
      </c>
      <c r="C39" s="678"/>
      <c r="D39" s="410" t="s">
        <v>43</v>
      </c>
      <c r="E39" s="410">
        <v>4</v>
      </c>
      <c r="F39" s="422">
        <f>F52/22</f>
        <v>1.6818863295624915</v>
      </c>
      <c r="G39" s="423">
        <f t="shared" si="0"/>
        <v>6.727545318249966</v>
      </c>
    </row>
    <row r="40" spans="1:7" ht="15" customHeight="1">
      <c r="A40" s="687" t="s">
        <v>19</v>
      </c>
      <c r="B40" s="688" t="s">
        <v>51</v>
      </c>
      <c r="C40" s="689"/>
      <c r="D40" s="360"/>
      <c r="E40" s="359"/>
      <c r="F40" s="411"/>
      <c r="G40" s="423">
        <f t="shared" si="0"/>
        <v>0</v>
      </c>
    </row>
    <row r="41" spans="1:7" ht="14.25" customHeight="1">
      <c r="A41" s="687"/>
      <c r="B41" s="688" t="s">
        <v>52</v>
      </c>
      <c r="C41" s="689"/>
      <c r="D41" s="360"/>
      <c r="E41" s="359"/>
      <c r="F41" s="411"/>
      <c r="G41" s="423">
        <f t="shared" si="0"/>
        <v>0</v>
      </c>
    </row>
    <row r="42" spans="1:7" ht="15.75" customHeight="1">
      <c r="A42" s="687"/>
      <c r="B42" s="688" t="s">
        <v>53</v>
      </c>
      <c r="C42" s="689"/>
      <c r="D42" s="360"/>
      <c r="E42" s="359"/>
      <c r="F42" s="411"/>
      <c r="G42" s="423">
        <f t="shared" si="0"/>
        <v>0</v>
      </c>
    </row>
    <row r="43" spans="1:7" ht="14.25">
      <c r="A43" s="687"/>
      <c r="B43" s="688" t="s">
        <v>53</v>
      </c>
      <c r="C43" s="689"/>
      <c r="D43" s="360"/>
      <c r="E43" s="359"/>
      <c r="F43" s="411"/>
      <c r="G43" s="423">
        <f t="shared" si="0"/>
        <v>0</v>
      </c>
    </row>
    <row r="44" spans="1:7" ht="14.25">
      <c r="A44" s="410" t="s">
        <v>54</v>
      </c>
      <c r="B44" s="678" t="s">
        <v>55</v>
      </c>
      <c r="C44" s="678"/>
      <c r="D44" s="410"/>
      <c r="E44" s="410"/>
      <c r="F44" s="410"/>
      <c r="G44" s="423">
        <f>SUM(G36:G43)</f>
        <v>26.910181272999864</v>
      </c>
    </row>
    <row r="45" ht="14.25">
      <c r="A45" s="354"/>
    </row>
    <row r="46" ht="15" thickBot="1">
      <c r="A46" s="354" t="s">
        <v>56</v>
      </c>
    </row>
    <row r="47" spans="1:7" ht="27.75" customHeight="1" thickBot="1">
      <c r="A47" s="683" t="s">
        <v>37</v>
      </c>
      <c r="B47" s="695" t="s">
        <v>57</v>
      </c>
      <c r="C47" s="696"/>
      <c r="D47" s="691" t="s">
        <v>39</v>
      </c>
      <c r="E47" s="691" t="s">
        <v>207</v>
      </c>
      <c r="F47" s="683" t="s">
        <v>58</v>
      </c>
      <c r="G47" s="692" t="s">
        <v>59</v>
      </c>
    </row>
    <row r="48" spans="1:7" ht="15" customHeight="1">
      <c r="A48" s="684"/>
      <c r="B48" s="409" t="s">
        <v>60</v>
      </c>
      <c r="C48" s="412" t="s">
        <v>61</v>
      </c>
      <c r="D48" s="693"/>
      <c r="E48" s="693"/>
      <c r="F48" s="684"/>
      <c r="G48" s="694"/>
    </row>
    <row r="49" spans="1:7" ht="14.25" customHeight="1">
      <c r="A49" s="410">
        <v>1</v>
      </c>
      <c r="B49" s="413" t="s">
        <v>62</v>
      </c>
      <c r="C49" s="413" t="s">
        <v>395</v>
      </c>
      <c r="D49" s="410" t="s">
        <v>43</v>
      </c>
      <c r="E49" s="410">
        <v>8</v>
      </c>
      <c r="F49" s="422">
        <f>6600*12/2001</f>
        <v>39.58020989505248</v>
      </c>
      <c r="G49" s="423">
        <f aca="true" t="shared" si="1" ref="G49:G54">E49*F49</f>
        <v>316.6416791604198</v>
      </c>
    </row>
    <row r="50" spans="1:9" ht="15" customHeight="1">
      <c r="A50" s="410">
        <v>2</v>
      </c>
      <c r="B50" s="413" t="s">
        <v>425</v>
      </c>
      <c r="C50" s="413" t="s">
        <v>395</v>
      </c>
      <c r="D50" s="410" t="s">
        <v>43</v>
      </c>
      <c r="E50" s="410">
        <v>8</v>
      </c>
      <c r="F50" s="422">
        <f>3894*12/2001</f>
        <v>23.35232383808096</v>
      </c>
      <c r="G50" s="423">
        <f t="shared" si="1"/>
        <v>186.81859070464768</v>
      </c>
      <c r="I50" s="318" t="s">
        <v>431</v>
      </c>
    </row>
    <row r="51" spans="1:7" ht="15" customHeight="1">
      <c r="A51" s="410">
        <v>3</v>
      </c>
      <c r="B51" s="413" t="s">
        <v>572</v>
      </c>
      <c r="C51" s="413" t="s">
        <v>573</v>
      </c>
      <c r="D51" s="410" t="s">
        <v>43</v>
      </c>
      <c r="E51" s="410">
        <v>3</v>
      </c>
      <c r="F51" s="422">
        <f>7260*12/2001</f>
        <v>43.53823088455772</v>
      </c>
      <c r="G51" s="423">
        <f t="shared" si="1"/>
        <v>130.61469265367316</v>
      </c>
    </row>
    <row r="52" spans="1:7" ht="15" customHeight="1">
      <c r="A52" s="410">
        <v>4</v>
      </c>
      <c r="B52" s="413" t="s">
        <v>70</v>
      </c>
      <c r="C52" s="413" t="s">
        <v>529</v>
      </c>
      <c r="D52" s="410" t="s">
        <v>43</v>
      </c>
      <c r="E52" s="410">
        <v>18</v>
      </c>
      <c r="F52" s="422">
        <f>3085*12/1000.5</f>
        <v>37.00149925037481</v>
      </c>
      <c r="G52" s="423">
        <f t="shared" si="1"/>
        <v>666.0269865067467</v>
      </c>
    </row>
    <row r="53" spans="1:7" ht="15" customHeight="1">
      <c r="A53" s="410">
        <v>5</v>
      </c>
      <c r="B53" s="413" t="s">
        <v>73</v>
      </c>
      <c r="C53" s="413" t="s">
        <v>529</v>
      </c>
      <c r="D53" s="410" t="s">
        <v>43</v>
      </c>
      <c r="E53" s="410">
        <v>2</v>
      </c>
      <c r="F53" s="422">
        <f>3085*12/1000.5</f>
        <v>37.00149925037481</v>
      </c>
      <c r="G53" s="423">
        <f t="shared" si="1"/>
        <v>74.00299850074963</v>
      </c>
    </row>
    <row r="54" spans="1:7" ht="15" customHeight="1">
      <c r="A54" s="410">
        <v>6</v>
      </c>
      <c r="B54" s="413" t="s">
        <v>75</v>
      </c>
      <c r="C54" s="413" t="s">
        <v>529</v>
      </c>
      <c r="D54" s="410" t="s">
        <v>43</v>
      </c>
      <c r="E54" s="410">
        <v>3</v>
      </c>
      <c r="F54" s="422">
        <f>3085*12/1000.5</f>
        <v>37.00149925037481</v>
      </c>
      <c r="G54" s="423">
        <f t="shared" si="1"/>
        <v>111.00449775112443</v>
      </c>
    </row>
    <row r="55" spans="1:7" ht="15" customHeight="1">
      <c r="A55" s="410"/>
      <c r="B55" s="413" t="s">
        <v>82</v>
      </c>
      <c r="C55" s="413"/>
      <c r="D55" s="410"/>
      <c r="E55" s="410"/>
      <c r="F55" s="410"/>
      <c r="G55" s="423">
        <f>SUM(G49:G54)</f>
        <v>1485.1094452773614</v>
      </c>
    </row>
    <row r="56" ht="15" customHeight="1">
      <c r="A56" s="361"/>
    </row>
    <row r="57" ht="15" thickBot="1">
      <c r="A57" s="354" t="s">
        <v>83</v>
      </c>
    </row>
    <row r="58" spans="1:7" ht="28.5" customHeight="1">
      <c r="A58" s="362" t="s">
        <v>37</v>
      </c>
      <c r="B58" s="691" t="s">
        <v>38</v>
      </c>
      <c r="C58" s="692"/>
      <c r="D58" s="356" t="s">
        <v>39</v>
      </c>
      <c r="E58" s="356" t="s">
        <v>207</v>
      </c>
      <c r="F58" s="356" t="s">
        <v>58</v>
      </c>
      <c r="G58" s="356" t="s">
        <v>59</v>
      </c>
    </row>
    <row r="59" spans="1:7" ht="15" customHeight="1">
      <c r="A59" s="410" t="s">
        <v>9</v>
      </c>
      <c r="B59" s="678" t="s">
        <v>84</v>
      </c>
      <c r="C59" s="678"/>
      <c r="D59" s="410" t="s">
        <v>85</v>
      </c>
      <c r="E59" s="414"/>
      <c r="F59" s="414"/>
      <c r="G59" s="423">
        <f>(G44+G55)*0.23</f>
        <v>347.7645141065831</v>
      </c>
    </row>
    <row r="60" spans="1:7" ht="15" customHeight="1">
      <c r="A60" s="410" t="s">
        <v>45</v>
      </c>
      <c r="B60" s="678" t="s">
        <v>539</v>
      </c>
      <c r="C60" s="678"/>
      <c r="D60" s="410" t="s">
        <v>85</v>
      </c>
      <c r="E60" s="414"/>
      <c r="F60" s="414"/>
      <c r="G60" s="423">
        <f>(G44+G55)*0.04</f>
        <v>60.48078506201445</v>
      </c>
    </row>
    <row r="61" ht="18" customHeight="1">
      <c r="A61" s="361"/>
    </row>
    <row r="62" ht="15" thickBot="1">
      <c r="A62" s="354" t="s">
        <v>87</v>
      </c>
    </row>
    <row r="63" spans="1:7" ht="27" customHeight="1" thickBot="1">
      <c r="A63" s="356" t="s">
        <v>37</v>
      </c>
      <c r="B63" s="691" t="s">
        <v>38</v>
      </c>
      <c r="C63" s="692"/>
      <c r="D63" s="355" t="s">
        <v>39</v>
      </c>
      <c r="E63" s="362" t="s">
        <v>207</v>
      </c>
      <c r="F63" s="356" t="s">
        <v>58</v>
      </c>
      <c r="G63" s="356" t="s">
        <v>59</v>
      </c>
    </row>
    <row r="64" spans="1:7" ht="15" customHeight="1">
      <c r="A64" s="685"/>
      <c r="B64" s="685"/>
      <c r="C64" s="685"/>
      <c r="D64" s="363"/>
      <c r="E64" s="363"/>
      <c r="F64" s="364"/>
      <c r="G64" s="364"/>
    </row>
    <row r="65" spans="1:7" ht="14.25">
      <c r="A65" s="679" t="s">
        <v>88</v>
      </c>
      <c r="B65" s="679"/>
      <c r="C65" s="679"/>
      <c r="D65" s="366"/>
      <c r="E65" s="366"/>
      <c r="F65" s="368"/>
      <c r="G65" s="368"/>
    </row>
    <row r="66" spans="1:7" ht="15" customHeight="1">
      <c r="A66" s="415" t="s">
        <v>9</v>
      </c>
      <c r="B66" s="678" t="s">
        <v>530</v>
      </c>
      <c r="C66" s="678"/>
      <c r="D66" s="410"/>
      <c r="E66" s="410"/>
      <c r="F66" s="410"/>
      <c r="G66" s="410"/>
    </row>
    <row r="67" spans="1:7" ht="15" customHeight="1">
      <c r="A67" s="415" t="s">
        <v>45</v>
      </c>
      <c r="B67" s="678" t="s">
        <v>90</v>
      </c>
      <c r="C67" s="678"/>
      <c r="D67" s="410" t="s">
        <v>91</v>
      </c>
      <c r="E67" s="410"/>
      <c r="F67" s="410"/>
      <c r="G67" s="410">
        <f>E67*F67</f>
        <v>0</v>
      </c>
    </row>
    <row r="68" spans="1:7" ht="15" customHeight="1">
      <c r="A68" s="415" t="s">
        <v>14</v>
      </c>
      <c r="B68" s="678" t="s">
        <v>92</v>
      </c>
      <c r="C68" s="678"/>
      <c r="D68" s="410" t="s">
        <v>91</v>
      </c>
      <c r="E68" s="410"/>
      <c r="F68" s="410"/>
      <c r="G68" s="410">
        <f>E68*F68</f>
        <v>0</v>
      </c>
    </row>
    <row r="69" spans="1:7" ht="15" customHeight="1">
      <c r="A69" s="415" t="s">
        <v>49</v>
      </c>
      <c r="B69" s="678" t="s">
        <v>93</v>
      </c>
      <c r="C69" s="678"/>
      <c r="D69" s="410" t="s">
        <v>91</v>
      </c>
      <c r="E69" s="410"/>
      <c r="F69" s="410"/>
      <c r="G69" s="410">
        <f>E69*F69</f>
        <v>0</v>
      </c>
    </row>
    <row r="70" spans="1:7" ht="15" customHeight="1">
      <c r="A70" s="415" t="s">
        <v>19</v>
      </c>
      <c r="B70" s="678" t="s">
        <v>94</v>
      </c>
      <c r="C70" s="678"/>
      <c r="D70" s="410"/>
      <c r="E70" s="410"/>
      <c r="F70" s="410"/>
      <c r="G70" s="410"/>
    </row>
    <row r="71" spans="1:7" ht="15" customHeight="1">
      <c r="A71" s="415"/>
      <c r="B71" s="682" t="s">
        <v>95</v>
      </c>
      <c r="C71" s="682"/>
      <c r="D71" s="416" t="s">
        <v>96</v>
      </c>
      <c r="E71" s="416"/>
      <c r="F71" s="416"/>
      <c r="G71" s="416"/>
    </row>
    <row r="72" spans="1:7" ht="15" customHeight="1">
      <c r="A72" s="415"/>
      <c r="B72" s="682" t="s">
        <v>97</v>
      </c>
      <c r="C72" s="682"/>
      <c r="D72" s="416" t="s">
        <v>91</v>
      </c>
      <c r="E72" s="416"/>
      <c r="F72" s="416"/>
      <c r="G72" s="416"/>
    </row>
    <row r="73" spans="1:7" ht="15" customHeight="1">
      <c r="A73" s="415"/>
      <c r="B73" s="682" t="s">
        <v>98</v>
      </c>
      <c r="C73" s="682"/>
      <c r="D73" s="416" t="s">
        <v>85</v>
      </c>
      <c r="E73" s="416"/>
      <c r="F73" s="416"/>
      <c r="G73" s="416">
        <f>E71*E72*F72</f>
        <v>0</v>
      </c>
    </row>
    <row r="74" spans="1:7" ht="15" customHeight="1">
      <c r="A74" s="415" t="s">
        <v>54</v>
      </c>
      <c r="B74" s="678" t="s">
        <v>99</v>
      </c>
      <c r="C74" s="678"/>
      <c r="D74" s="416"/>
      <c r="E74" s="416"/>
      <c r="F74" s="416"/>
      <c r="G74" s="416"/>
    </row>
    <row r="75" spans="1:7" ht="15" customHeight="1">
      <c r="A75" s="415"/>
      <c r="B75" s="682" t="s">
        <v>97</v>
      </c>
      <c r="C75" s="682"/>
      <c r="D75" s="416" t="s">
        <v>91</v>
      </c>
      <c r="E75" s="416"/>
      <c r="F75" s="416"/>
      <c r="G75" s="416"/>
    </row>
    <row r="76" spans="1:7" ht="15" customHeight="1">
      <c r="A76" s="415"/>
      <c r="B76" s="682" t="s">
        <v>100</v>
      </c>
      <c r="C76" s="682"/>
      <c r="D76" s="416" t="s">
        <v>101</v>
      </c>
      <c r="E76" s="416"/>
      <c r="F76" s="416"/>
      <c r="G76" s="416">
        <f>E76*F76</f>
        <v>0</v>
      </c>
    </row>
    <row r="77" spans="1:7" ht="15" customHeight="1">
      <c r="A77" s="415"/>
      <c r="B77" s="682" t="s">
        <v>102</v>
      </c>
      <c r="C77" s="682"/>
      <c r="D77" s="416" t="s">
        <v>91</v>
      </c>
      <c r="E77" s="416"/>
      <c r="F77" s="416"/>
      <c r="G77" s="416">
        <f>E75*F77</f>
        <v>0</v>
      </c>
    </row>
    <row r="78" spans="1:7" ht="14.25" customHeight="1">
      <c r="A78" s="679"/>
      <c r="B78" s="679"/>
      <c r="C78" s="679"/>
      <c r="D78" s="365"/>
      <c r="E78" s="365"/>
      <c r="F78" s="365"/>
      <c r="G78" s="365"/>
    </row>
    <row r="79" spans="1:7" ht="14.25">
      <c r="A79" s="679" t="s">
        <v>103</v>
      </c>
      <c r="B79" s="679"/>
      <c r="C79" s="679"/>
      <c r="D79" s="365"/>
      <c r="E79" s="365"/>
      <c r="F79" s="365"/>
      <c r="G79" s="365"/>
    </row>
    <row r="80" spans="1:7" ht="15" customHeight="1">
      <c r="A80" s="415"/>
      <c r="B80" s="682" t="s">
        <v>97</v>
      </c>
      <c r="C80" s="682"/>
      <c r="D80" s="416" t="s">
        <v>91</v>
      </c>
      <c r="E80" s="416">
        <v>8</v>
      </c>
      <c r="F80" s="416"/>
      <c r="G80" s="416"/>
    </row>
    <row r="81" spans="1:7" ht="15" customHeight="1">
      <c r="A81" s="415"/>
      <c r="B81" s="682" t="s">
        <v>104</v>
      </c>
      <c r="C81" s="682"/>
      <c r="D81" s="416" t="s">
        <v>101</v>
      </c>
      <c r="E81" s="289">
        <v>1.35</v>
      </c>
      <c r="F81" s="289">
        <v>1.68</v>
      </c>
      <c r="G81" s="420">
        <f>E81*F81</f>
        <v>2.2680000000000002</v>
      </c>
    </row>
    <row r="82" spans="1:7" ht="14.25" customHeight="1">
      <c r="A82" s="415"/>
      <c r="B82" s="682" t="s">
        <v>105</v>
      </c>
      <c r="C82" s="682"/>
      <c r="D82" s="416" t="s">
        <v>85</v>
      </c>
      <c r="E82" s="289"/>
      <c r="F82" s="289">
        <v>11.8</v>
      </c>
      <c r="G82" s="420">
        <f>E80*F82</f>
        <v>94.4</v>
      </c>
    </row>
    <row r="83" spans="1:7" ht="15" customHeight="1">
      <c r="A83" s="679"/>
      <c r="B83" s="679"/>
      <c r="C83" s="679"/>
      <c r="D83" s="365"/>
      <c r="E83" s="365"/>
      <c r="F83" s="365"/>
      <c r="G83" s="421"/>
    </row>
    <row r="84" spans="1:7" ht="14.25">
      <c r="A84" s="679" t="s">
        <v>106</v>
      </c>
      <c r="B84" s="679"/>
      <c r="C84" s="679"/>
      <c r="D84" s="365"/>
      <c r="E84" s="365"/>
      <c r="F84" s="365"/>
      <c r="G84" s="421"/>
    </row>
    <row r="85" spans="1:7" ht="15" customHeight="1">
      <c r="A85" s="415"/>
      <c r="B85" s="682" t="s">
        <v>97</v>
      </c>
      <c r="C85" s="682"/>
      <c r="D85" s="416"/>
      <c r="E85" s="416">
        <v>32</v>
      </c>
      <c r="F85" s="416"/>
      <c r="G85" s="420"/>
    </row>
    <row r="86" spans="1:7" ht="15" customHeight="1">
      <c r="A86" s="415"/>
      <c r="B86" s="682" t="s">
        <v>104</v>
      </c>
      <c r="C86" s="682"/>
      <c r="D86" s="416" t="s">
        <v>101</v>
      </c>
      <c r="E86" s="289">
        <v>0.5</v>
      </c>
      <c r="F86" s="289">
        <v>1.68</v>
      </c>
      <c r="G86" s="420">
        <f>E86*F86</f>
        <v>0.84</v>
      </c>
    </row>
    <row r="87" spans="1:7" ht="14.25" customHeight="1">
      <c r="A87" s="415"/>
      <c r="B87" s="682" t="s">
        <v>107</v>
      </c>
      <c r="C87" s="682"/>
      <c r="D87" s="416" t="s">
        <v>85</v>
      </c>
      <c r="E87" s="289"/>
      <c r="F87" s="289">
        <v>0.6</v>
      </c>
      <c r="G87" s="420">
        <f>E85*F87</f>
        <v>19.2</v>
      </c>
    </row>
    <row r="88" spans="1:7" ht="14.25" customHeight="1">
      <c r="A88" s="366"/>
      <c r="B88" s="367"/>
      <c r="C88" s="367"/>
      <c r="D88" s="368"/>
      <c r="E88" s="368"/>
      <c r="F88" s="368"/>
      <c r="G88" s="368"/>
    </row>
    <row r="89" spans="1:7" ht="15.75">
      <c r="A89" s="679" t="s">
        <v>208</v>
      </c>
      <c r="B89" s="679"/>
      <c r="C89" s="679"/>
      <c r="D89" s="366"/>
      <c r="E89" s="366"/>
      <c r="F89" s="368"/>
      <c r="G89" s="368"/>
    </row>
    <row r="90" spans="1:7" ht="18.75" customHeight="1">
      <c r="A90" s="413"/>
      <c r="B90" s="680"/>
      <c r="C90" s="680"/>
      <c r="D90" s="410"/>
      <c r="E90" s="410"/>
      <c r="F90" s="410"/>
      <c r="G90" s="410"/>
    </row>
    <row r="91" spans="1:7" ht="14.25">
      <c r="A91" s="413"/>
      <c r="B91" s="680"/>
      <c r="C91" s="680"/>
      <c r="D91" s="410"/>
      <c r="E91" s="410"/>
      <c r="F91" s="410"/>
      <c r="G91" s="410"/>
    </row>
    <row r="92" spans="1:7" ht="14.25">
      <c r="A92" s="260"/>
      <c r="B92" s="631" t="s">
        <v>108</v>
      </c>
      <c r="C92" s="632"/>
      <c r="D92" s="260"/>
      <c r="E92" s="261"/>
      <c r="F92" s="260"/>
      <c r="G92" s="263">
        <f>SUM(G67:G91)-1</f>
        <v>115.70800000000001</v>
      </c>
    </row>
    <row r="93" spans="1:7" ht="12.75">
      <c r="A93" s="369"/>
      <c r="B93" s="369"/>
      <c r="C93" s="369"/>
      <c r="D93" s="369"/>
      <c r="E93" s="369"/>
      <c r="F93" s="369"/>
      <c r="G93" s="369"/>
    </row>
    <row r="94" ht="15" thickBot="1">
      <c r="A94" s="354" t="s">
        <v>110</v>
      </c>
    </row>
    <row r="95" spans="1:7" ht="26.25" customHeight="1">
      <c r="A95" s="362" t="s">
        <v>37</v>
      </c>
      <c r="B95" s="372" t="s">
        <v>38</v>
      </c>
      <c r="C95" s="373"/>
      <c r="D95" s="355" t="s">
        <v>39</v>
      </c>
      <c r="E95" s="356" t="s">
        <v>207</v>
      </c>
      <c r="F95" s="356" t="s">
        <v>58</v>
      </c>
      <c r="G95" s="356" t="s">
        <v>59</v>
      </c>
    </row>
    <row r="96" spans="1:7" ht="15" customHeight="1">
      <c r="A96" s="410" t="s">
        <v>9</v>
      </c>
      <c r="B96" s="678" t="s">
        <v>111</v>
      </c>
      <c r="C96" s="678"/>
      <c r="D96" s="416" t="s">
        <v>91</v>
      </c>
      <c r="E96" s="416"/>
      <c r="F96" s="416"/>
      <c r="G96" s="410">
        <f>E96*F96</f>
        <v>0</v>
      </c>
    </row>
    <row r="97" spans="1:7" ht="15" customHeight="1">
      <c r="A97" s="410" t="s">
        <v>45</v>
      </c>
      <c r="B97" s="678" t="s">
        <v>112</v>
      </c>
      <c r="C97" s="678"/>
      <c r="D97" s="416" t="s">
        <v>91</v>
      </c>
      <c r="E97" s="416"/>
      <c r="F97" s="416"/>
      <c r="G97" s="410">
        <f>E97*F97</f>
        <v>0</v>
      </c>
    </row>
    <row r="98" spans="1:7" ht="15" customHeight="1">
      <c r="A98" s="410" t="s">
        <v>14</v>
      </c>
      <c r="B98" s="678" t="s">
        <v>113</v>
      </c>
      <c r="C98" s="678"/>
      <c r="D98" s="416" t="s">
        <v>91</v>
      </c>
      <c r="E98" s="416"/>
      <c r="F98" s="416"/>
      <c r="G98" s="410">
        <f>E98*F98</f>
        <v>0</v>
      </c>
    </row>
    <row r="99" spans="1:7" ht="15" customHeight="1">
      <c r="A99" s="410" t="s">
        <v>49</v>
      </c>
      <c r="B99" s="678" t="s">
        <v>94</v>
      </c>
      <c r="C99" s="678"/>
      <c r="D99" s="416"/>
      <c r="E99" s="416"/>
      <c r="F99" s="416"/>
      <c r="G99" s="416"/>
    </row>
    <row r="100" spans="1:7" ht="15" customHeight="1">
      <c r="A100" s="410"/>
      <c r="B100" s="682" t="s">
        <v>95</v>
      </c>
      <c r="C100" s="682"/>
      <c r="D100" s="416" t="s">
        <v>96</v>
      </c>
      <c r="E100" s="416"/>
      <c r="F100" s="416"/>
      <c r="G100" s="416"/>
    </row>
    <row r="101" spans="1:7" ht="15" customHeight="1">
      <c r="A101" s="410"/>
      <c r="B101" s="682" t="s">
        <v>97</v>
      </c>
      <c r="C101" s="682"/>
      <c r="D101" s="416" t="s">
        <v>91</v>
      </c>
      <c r="E101" s="416"/>
      <c r="F101" s="416"/>
      <c r="G101" s="416"/>
    </row>
    <row r="102" spans="1:7" ht="15" customHeight="1">
      <c r="A102" s="410"/>
      <c r="B102" s="682" t="s">
        <v>114</v>
      </c>
      <c r="C102" s="682"/>
      <c r="D102" s="416" t="s">
        <v>85</v>
      </c>
      <c r="E102" s="416"/>
      <c r="F102" s="416"/>
      <c r="G102" s="416">
        <f>E100*E101*F102</f>
        <v>0</v>
      </c>
    </row>
    <row r="103" spans="1:7" ht="15" customHeight="1">
      <c r="A103" s="410" t="s">
        <v>19</v>
      </c>
      <c r="B103" s="681" t="s">
        <v>115</v>
      </c>
      <c r="C103" s="681"/>
      <c r="D103" s="416"/>
      <c r="E103" s="416"/>
      <c r="F103" s="416"/>
      <c r="G103" s="416"/>
    </row>
    <row r="104" spans="1:7" ht="15" customHeight="1">
      <c r="A104" s="410"/>
      <c r="B104" s="682" t="s">
        <v>116</v>
      </c>
      <c r="C104" s="682"/>
      <c r="D104" s="416" t="s">
        <v>117</v>
      </c>
      <c r="E104" s="416"/>
      <c r="F104" s="416"/>
      <c r="G104" s="416"/>
    </row>
    <row r="105" spans="1:7" ht="15" customHeight="1">
      <c r="A105" s="410"/>
      <c r="B105" s="682" t="s">
        <v>118</v>
      </c>
      <c r="C105" s="682"/>
      <c r="D105" s="416" t="s">
        <v>85</v>
      </c>
      <c r="E105" s="416"/>
      <c r="F105" s="416"/>
      <c r="G105" s="416">
        <f>E104*E105*F105</f>
        <v>0</v>
      </c>
    </row>
    <row r="106" spans="1:7" ht="15" customHeight="1">
      <c r="A106" s="410" t="s">
        <v>54</v>
      </c>
      <c r="B106" s="681" t="s">
        <v>119</v>
      </c>
      <c r="C106" s="681"/>
      <c r="D106" s="416"/>
      <c r="E106" s="416"/>
      <c r="F106" s="416"/>
      <c r="G106" s="416"/>
    </row>
    <row r="107" spans="1:7" ht="15" customHeight="1">
      <c r="A107" s="410"/>
      <c r="B107" s="682" t="s">
        <v>120</v>
      </c>
      <c r="C107" s="682"/>
      <c r="D107" s="416" t="s">
        <v>117</v>
      </c>
      <c r="E107" s="416"/>
      <c r="F107" s="416"/>
      <c r="G107" s="416"/>
    </row>
    <row r="108" spans="1:7" ht="15" customHeight="1">
      <c r="A108" s="410"/>
      <c r="B108" s="682" t="s">
        <v>121</v>
      </c>
      <c r="C108" s="682"/>
      <c r="D108" s="416" t="s">
        <v>85</v>
      </c>
      <c r="E108" s="416"/>
      <c r="F108" s="416"/>
      <c r="G108" s="416">
        <f>E107*E108*F108</f>
        <v>0</v>
      </c>
    </row>
    <row r="109" spans="1:7" ht="15" customHeight="1">
      <c r="A109" s="410" t="s">
        <v>22</v>
      </c>
      <c r="B109" s="681" t="s">
        <v>99</v>
      </c>
      <c r="C109" s="681"/>
      <c r="D109" s="416"/>
      <c r="E109" s="416"/>
      <c r="F109" s="416"/>
      <c r="G109" s="416"/>
    </row>
    <row r="110" spans="1:7" ht="15" customHeight="1">
      <c r="A110" s="410"/>
      <c r="B110" s="682" t="s">
        <v>97</v>
      </c>
      <c r="C110" s="682"/>
      <c r="D110" s="416" t="s">
        <v>91</v>
      </c>
      <c r="E110" s="416"/>
      <c r="F110" s="416"/>
      <c r="G110" s="416"/>
    </row>
    <row r="111" spans="1:7" ht="15" customHeight="1">
      <c r="A111" s="410"/>
      <c r="B111" s="682" t="s">
        <v>102</v>
      </c>
      <c r="C111" s="682"/>
      <c r="D111" s="416" t="s">
        <v>85</v>
      </c>
      <c r="E111" s="416"/>
      <c r="F111" s="416"/>
      <c r="G111" s="416">
        <f>E110*E111*F111</f>
        <v>0</v>
      </c>
    </row>
    <row r="112" spans="1:7" ht="14.25" customHeight="1">
      <c r="A112" s="410" t="s">
        <v>72</v>
      </c>
      <c r="B112" s="678" t="s">
        <v>122</v>
      </c>
      <c r="C112" s="678"/>
      <c r="D112" s="416" t="s">
        <v>91</v>
      </c>
      <c r="E112" s="416"/>
      <c r="F112" s="416"/>
      <c r="G112" s="416">
        <f>E112*F112</f>
        <v>0</v>
      </c>
    </row>
    <row r="113" spans="1:7" ht="14.25" customHeight="1">
      <c r="A113" s="260"/>
      <c r="B113" s="631" t="s">
        <v>123</v>
      </c>
      <c r="C113" s="632"/>
      <c r="D113" s="260"/>
      <c r="E113" s="261"/>
      <c r="F113" s="260"/>
      <c r="G113" s="263">
        <f>SUM(G94:G112)</f>
        <v>0</v>
      </c>
    </row>
    <row r="114" ht="14.25">
      <c r="A114" s="345"/>
    </row>
    <row r="115" ht="14.25">
      <c r="A115" s="354" t="s">
        <v>124</v>
      </c>
    </row>
    <row r="116" ht="15" thickBot="1">
      <c r="A116" s="354"/>
    </row>
    <row r="117" spans="1:9" ht="29.25" customHeight="1">
      <c r="A117" s="362" t="s">
        <v>37</v>
      </c>
      <c r="B117" s="372" t="s">
        <v>38</v>
      </c>
      <c r="C117" s="373"/>
      <c r="D117" s="355" t="s">
        <v>39</v>
      </c>
      <c r="E117" s="417" t="s">
        <v>207</v>
      </c>
      <c r="F117" s="356" t="s">
        <v>58</v>
      </c>
      <c r="G117" s="356" t="s">
        <v>59</v>
      </c>
      <c r="H117" s="370"/>
      <c r="I117" s="371"/>
    </row>
    <row r="118" spans="1:9" ht="15" customHeight="1">
      <c r="A118" s="410" t="s">
        <v>9</v>
      </c>
      <c r="B118" s="678" t="s">
        <v>125</v>
      </c>
      <c r="C118" s="678"/>
      <c r="D118" s="416" t="s">
        <v>96</v>
      </c>
      <c r="E118" s="416"/>
      <c r="F118" s="416"/>
      <c r="G118" s="416"/>
      <c r="H118" s="368"/>
      <c r="I118" s="371"/>
    </row>
    <row r="119" spans="1:9" ht="15" customHeight="1">
      <c r="A119" s="410" t="s">
        <v>45</v>
      </c>
      <c r="B119" s="678" t="s">
        <v>126</v>
      </c>
      <c r="C119" s="678"/>
      <c r="D119" s="416" t="s">
        <v>127</v>
      </c>
      <c r="E119" s="416"/>
      <c r="F119" s="416"/>
      <c r="G119" s="416"/>
      <c r="H119" s="368"/>
      <c r="I119" s="371"/>
    </row>
    <row r="120" spans="1:9" ht="26.25" customHeight="1">
      <c r="A120" s="410" t="s">
        <v>14</v>
      </c>
      <c r="B120" s="678" t="s">
        <v>128</v>
      </c>
      <c r="C120" s="678"/>
      <c r="D120" s="416" t="s">
        <v>129</v>
      </c>
      <c r="E120" s="416"/>
      <c r="F120" s="416"/>
      <c r="G120" s="416">
        <f>E118*E120*F120</f>
        <v>0</v>
      </c>
      <c r="H120" s="368"/>
      <c r="I120" s="371"/>
    </row>
    <row r="121" spans="1:9" ht="14.25" customHeight="1">
      <c r="A121" s="410" t="s">
        <v>49</v>
      </c>
      <c r="B121" s="678" t="s">
        <v>130</v>
      </c>
      <c r="C121" s="678"/>
      <c r="D121" s="416" t="s">
        <v>131</v>
      </c>
      <c r="E121" s="416"/>
      <c r="F121" s="416"/>
      <c r="G121" s="416"/>
      <c r="H121" s="368"/>
      <c r="I121" s="371"/>
    </row>
    <row r="122" spans="1:9" ht="15" customHeight="1">
      <c r="A122" s="410"/>
      <c r="B122" s="678" t="s">
        <v>132</v>
      </c>
      <c r="C122" s="678"/>
      <c r="D122" s="416" t="s">
        <v>131</v>
      </c>
      <c r="E122" s="416"/>
      <c r="F122" s="416"/>
      <c r="G122" s="416">
        <f>E122*F122</f>
        <v>0</v>
      </c>
      <c r="H122" s="368"/>
      <c r="I122" s="371"/>
    </row>
    <row r="123" spans="1:9" ht="15">
      <c r="A123" s="410"/>
      <c r="B123" s="678" t="s">
        <v>133</v>
      </c>
      <c r="C123" s="678"/>
      <c r="D123" s="416" t="s">
        <v>131</v>
      </c>
      <c r="E123" s="416"/>
      <c r="F123" s="416"/>
      <c r="G123" s="416">
        <f>E123*F123</f>
        <v>0</v>
      </c>
      <c r="H123" s="368"/>
      <c r="I123" s="371"/>
    </row>
    <row r="124" spans="1:9" ht="15">
      <c r="A124" s="410"/>
      <c r="B124" s="678" t="s">
        <v>134</v>
      </c>
      <c r="C124" s="678"/>
      <c r="D124" s="416" t="s">
        <v>131</v>
      </c>
      <c r="E124" s="416"/>
      <c r="F124" s="416"/>
      <c r="G124" s="416">
        <f>E124*F124</f>
        <v>0</v>
      </c>
      <c r="H124" s="368"/>
      <c r="I124" s="371"/>
    </row>
    <row r="125" spans="1:9" ht="15">
      <c r="A125" s="260"/>
      <c r="B125" s="631" t="s">
        <v>135</v>
      </c>
      <c r="C125" s="632"/>
      <c r="D125" s="260"/>
      <c r="E125" s="261"/>
      <c r="F125" s="260"/>
      <c r="G125" s="263">
        <f>SUM(G118:G124)</f>
        <v>0</v>
      </c>
      <c r="H125" s="368"/>
      <c r="I125" s="371"/>
    </row>
    <row r="126" spans="1:9" ht="12.75">
      <c r="A126" s="369"/>
      <c r="B126" s="369"/>
      <c r="C126" s="369"/>
      <c r="D126" s="369"/>
      <c r="E126" s="369"/>
      <c r="F126" s="369"/>
      <c r="G126" s="369"/>
      <c r="H126" s="369"/>
      <c r="I126" s="369"/>
    </row>
    <row r="127" ht="15" thickBot="1">
      <c r="A127" s="354" t="s">
        <v>136</v>
      </c>
    </row>
    <row r="128" spans="1:7" ht="28.5" customHeight="1">
      <c r="A128" s="362" t="s">
        <v>37</v>
      </c>
      <c r="B128" s="372" t="s">
        <v>38</v>
      </c>
      <c r="C128" s="373"/>
      <c r="D128" s="356" t="s">
        <v>39</v>
      </c>
      <c r="E128" s="356" t="s">
        <v>207</v>
      </c>
      <c r="F128" s="356" t="s">
        <v>58</v>
      </c>
      <c r="G128" s="356" t="s">
        <v>59</v>
      </c>
    </row>
    <row r="129" spans="1:7" ht="14.25" customHeight="1">
      <c r="A129" s="410" t="s">
        <v>9</v>
      </c>
      <c r="B129" s="678" t="s">
        <v>137</v>
      </c>
      <c r="C129" s="678"/>
      <c r="D129" s="410" t="s">
        <v>138</v>
      </c>
      <c r="E129" s="416"/>
      <c r="F129" s="416"/>
      <c r="G129" s="416"/>
    </row>
    <row r="130" spans="1:7" ht="14.25" customHeight="1">
      <c r="A130" s="410" t="s">
        <v>45</v>
      </c>
      <c r="B130" s="678" t="s">
        <v>139</v>
      </c>
      <c r="C130" s="678"/>
      <c r="D130" s="690"/>
      <c r="E130" s="690"/>
      <c r="F130" s="690"/>
      <c r="G130" s="690"/>
    </row>
    <row r="131" spans="1:7" ht="14.25" customHeight="1">
      <c r="A131" s="410" t="s">
        <v>14</v>
      </c>
      <c r="B131" s="678" t="s">
        <v>140</v>
      </c>
      <c r="C131" s="678"/>
      <c r="D131" s="690"/>
      <c r="E131" s="690"/>
      <c r="F131" s="690"/>
      <c r="G131" s="690"/>
    </row>
    <row r="132" spans="1:7" ht="15" customHeight="1">
      <c r="A132" s="410" t="s">
        <v>49</v>
      </c>
      <c r="B132" s="678" t="s">
        <v>141</v>
      </c>
      <c r="C132" s="678"/>
      <c r="D132" s="410" t="s">
        <v>138</v>
      </c>
      <c r="E132" s="416"/>
      <c r="F132" s="416"/>
      <c r="G132" s="416">
        <f>E132*F132*E129</f>
        <v>0</v>
      </c>
    </row>
    <row r="133" spans="1:7" ht="15" customHeight="1">
      <c r="A133" s="410" t="s">
        <v>19</v>
      </c>
      <c r="B133" s="678" t="s">
        <v>142</v>
      </c>
      <c r="C133" s="678"/>
      <c r="D133" s="410" t="s">
        <v>138</v>
      </c>
      <c r="E133" s="416"/>
      <c r="F133" s="416"/>
      <c r="G133" s="416">
        <f>E133*F133*E129</f>
        <v>0</v>
      </c>
    </row>
    <row r="134" spans="1:7" ht="15" customHeight="1">
      <c r="A134" s="410" t="s">
        <v>54</v>
      </c>
      <c r="B134" s="678" t="s">
        <v>143</v>
      </c>
      <c r="C134" s="678"/>
      <c r="D134" s="410" t="s">
        <v>85</v>
      </c>
      <c r="E134" s="416"/>
      <c r="F134" s="416"/>
      <c r="G134" s="416">
        <f>E129*F134</f>
        <v>0</v>
      </c>
    </row>
    <row r="135" spans="1:7" ht="15" customHeight="1">
      <c r="A135" s="410" t="s">
        <v>22</v>
      </c>
      <c r="B135" s="678" t="s">
        <v>144</v>
      </c>
      <c r="C135" s="678"/>
      <c r="D135" s="410" t="s">
        <v>85</v>
      </c>
      <c r="E135" s="416"/>
      <c r="F135" s="416"/>
      <c r="G135" s="416">
        <f>E129*F135</f>
        <v>0</v>
      </c>
    </row>
    <row r="136" spans="1:7" ht="15" customHeight="1">
      <c r="A136" s="410" t="s">
        <v>72</v>
      </c>
      <c r="B136" s="678" t="s">
        <v>145</v>
      </c>
      <c r="C136" s="678"/>
      <c r="D136" s="410" t="s">
        <v>85</v>
      </c>
      <c r="E136" s="416"/>
      <c r="F136" s="416"/>
      <c r="G136" s="416">
        <f>E129*F136</f>
        <v>0</v>
      </c>
    </row>
    <row r="137" spans="1:7" ht="15" customHeight="1">
      <c r="A137" s="410" t="s">
        <v>26</v>
      </c>
      <c r="B137" s="678" t="s">
        <v>146</v>
      </c>
      <c r="C137" s="678"/>
      <c r="D137" s="410" t="s">
        <v>85</v>
      </c>
      <c r="E137" s="416"/>
      <c r="F137" s="416"/>
      <c r="G137" s="416">
        <f>F137</f>
        <v>0</v>
      </c>
    </row>
    <row r="138" spans="1:7" ht="15" customHeight="1">
      <c r="A138" s="260"/>
      <c r="B138" s="631" t="s">
        <v>147</v>
      </c>
      <c r="C138" s="632"/>
      <c r="D138" s="260"/>
      <c r="E138" s="261"/>
      <c r="F138" s="260"/>
      <c r="G138" s="263">
        <f>SUM(G132:G137)</f>
        <v>0</v>
      </c>
    </row>
    <row r="139" ht="14.25">
      <c r="A139" s="345"/>
    </row>
    <row r="140" ht="14.25">
      <c r="A140" s="345"/>
    </row>
    <row r="141" ht="14.25">
      <c r="A141" s="354" t="s">
        <v>148</v>
      </c>
    </row>
    <row r="142" ht="15" thickBot="1">
      <c r="A142" s="354"/>
    </row>
    <row r="143" spans="1:7" ht="28.5" customHeight="1">
      <c r="A143" s="362" t="s">
        <v>37</v>
      </c>
      <c r="B143" s="691" t="s">
        <v>38</v>
      </c>
      <c r="C143" s="692"/>
      <c r="D143" s="355" t="s">
        <v>39</v>
      </c>
      <c r="E143" s="356" t="s">
        <v>207</v>
      </c>
      <c r="F143" s="356" t="s">
        <v>58</v>
      </c>
      <c r="G143" s="356" t="s">
        <v>59</v>
      </c>
    </row>
    <row r="144" spans="1:7" ht="14.25" customHeight="1">
      <c r="A144" s="410" t="s">
        <v>9</v>
      </c>
      <c r="B144" s="678" t="s">
        <v>149</v>
      </c>
      <c r="C144" s="678"/>
      <c r="D144" s="410" t="s">
        <v>85</v>
      </c>
      <c r="E144" s="416"/>
      <c r="F144" s="416"/>
      <c r="G144" s="416">
        <f aca="true" t="shared" si="2" ref="G144:G152">E144*F144</f>
        <v>0</v>
      </c>
    </row>
    <row r="145" spans="1:7" ht="14.25" customHeight="1">
      <c r="A145" s="410" t="s">
        <v>45</v>
      </c>
      <c r="B145" s="678" t="s">
        <v>150</v>
      </c>
      <c r="C145" s="678"/>
      <c r="D145" s="410" t="s">
        <v>85</v>
      </c>
      <c r="E145" s="416"/>
      <c r="F145" s="416"/>
      <c r="G145" s="416">
        <f t="shared" si="2"/>
        <v>0</v>
      </c>
    </row>
    <row r="146" spans="1:7" ht="15" customHeight="1">
      <c r="A146" s="410" t="s">
        <v>14</v>
      </c>
      <c r="B146" s="678" t="s">
        <v>574</v>
      </c>
      <c r="C146" s="678"/>
      <c r="D146" s="410" t="s">
        <v>96</v>
      </c>
      <c r="E146" s="444">
        <f>2/22</f>
        <v>0.09090909090909091</v>
      </c>
      <c r="F146" s="416">
        <v>271.78</v>
      </c>
      <c r="G146" s="420">
        <f t="shared" si="2"/>
        <v>24.707272727272727</v>
      </c>
    </row>
    <row r="147" spans="1:7" ht="14.25">
      <c r="A147" s="410" t="s">
        <v>49</v>
      </c>
      <c r="B147" s="678" t="s">
        <v>152</v>
      </c>
      <c r="C147" s="678"/>
      <c r="D147" s="410" t="s">
        <v>96</v>
      </c>
      <c r="E147" s="416"/>
      <c r="F147" s="416"/>
      <c r="G147" s="416">
        <f t="shared" si="2"/>
        <v>0</v>
      </c>
    </row>
    <row r="148" spans="1:7" ht="15" customHeight="1">
      <c r="A148" s="410" t="s">
        <v>19</v>
      </c>
      <c r="B148" s="678" t="s">
        <v>153</v>
      </c>
      <c r="C148" s="678"/>
      <c r="D148" s="410"/>
      <c r="E148" s="416"/>
      <c r="F148" s="416"/>
      <c r="G148" s="416">
        <f t="shared" si="2"/>
        <v>0</v>
      </c>
    </row>
    <row r="149" spans="1:7" ht="15" customHeight="1">
      <c r="A149" s="410" t="s">
        <v>54</v>
      </c>
      <c r="B149" s="678" t="s">
        <v>154</v>
      </c>
      <c r="C149" s="678"/>
      <c r="D149" s="410"/>
      <c r="E149" s="416"/>
      <c r="F149" s="416"/>
      <c r="G149" s="416">
        <f t="shared" si="2"/>
        <v>0</v>
      </c>
    </row>
    <row r="150" spans="1:7" ht="15" customHeight="1">
      <c r="A150" s="410" t="s">
        <v>22</v>
      </c>
      <c r="B150" s="678" t="s">
        <v>155</v>
      </c>
      <c r="C150" s="678"/>
      <c r="D150" s="410"/>
      <c r="E150" s="416"/>
      <c r="F150" s="416"/>
      <c r="G150" s="416">
        <f t="shared" si="2"/>
        <v>0</v>
      </c>
    </row>
    <row r="151" spans="1:7" ht="15" customHeight="1">
      <c r="A151" s="410" t="s">
        <v>72</v>
      </c>
      <c r="B151" s="678" t="s">
        <v>156</v>
      </c>
      <c r="C151" s="678"/>
      <c r="D151" s="410"/>
      <c r="E151" s="416"/>
      <c r="F151" s="416"/>
      <c r="G151" s="416">
        <f t="shared" si="2"/>
        <v>0</v>
      </c>
    </row>
    <row r="152" spans="1:7" ht="15" customHeight="1">
      <c r="A152" s="410" t="s">
        <v>26</v>
      </c>
      <c r="B152" s="678" t="s">
        <v>157</v>
      </c>
      <c r="C152" s="678"/>
      <c r="D152" s="410" t="s">
        <v>85</v>
      </c>
      <c r="E152" s="416"/>
      <c r="F152" s="416"/>
      <c r="G152" s="416">
        <f t="shared" si="2"/>
        <v>0</v>
      </c>
    </row>
    <row r="153" spans="1:7" ht="15" customHeight="1">
      <c r="A153" s="260"/>
      <c r="B153" s="631" t="s">
        <v>158</v>
      </c>
      <c r="C153" s="632"/>
      <c r="D153" s="260"/>
      <c r="E153" s="261"/>
      <c r="F153" s="260"/>
      <c r="G153" s="263">
        <f>SUM(G144:G152)</f>
        <v>24.707272727272727</v>
      </c>
    </row>
    <row r="154" ht="14.25">
      <c r="A154" s="345"/>
    </row>
    <row r="155" ht="14.25">
      <c r="A155" s="354" t="s">
        <v>159</v>
      </c>
    </row>
    <row r="156" ht="15" thickBot="1">
      <c r="A156" s="354"/>
    </row>
    <row r="157" spans="1:7" ht="28.5" customHeight="1">
      <c r="A157" s="683" t="s">
        <v>37</v>
      </c>
      <c r="B157" s="691" t="s">
        <v>38</v>
      </c>
      <c r="C157" s="692"/>
      <c r="D157" s="355" t="s">
        <v>39</v>
      </c>
      <c r="E157" s="356" t="s">
        <v>207</v>
      </c>
      <c r="F157" s="356" t="s">
        <v>58</v>
      </c>
      <c r="G157" s="356" t="s">
        <v>59</v>
      </c>
    </row>
    <row r="158" spans="1:7" ht="15" customHeight="1">
      <c r="A158" s="684"/>
      <c r="B158" s="693"/>
      <c r="C158" s="694"/>
      <c r="D158" s="418"/>
      <c r="E158" s="419"/>
      <c r="F158" s="419"/>
      <c r="G158" s="419"/>
    </row>
    <row r="159" spans="1:7" ht="15" customHeight="1">
      <c r="A159" s="410" t="s">
        <v>9</v>
      </c>
      <c r="B159" s="690" t="s">
        <v>160</v>
      </c>
      <c r="C159" s="690"/>
      <c r="D159" s="410" t="s">
        <v>85</v>
      </c>
      <c r="E159" s="410"/>
      <c r="F159" s="410"/>
      <c r="G159" s="410">
        <f>E159*F159</f>
        <v>0</v>
      </c>
    </row>
    <row r="160" spans="1:7" ht="15" customHeight="1">
      <c r="A160" s="410"/>
      <c r="B160" s="697"/>
      <c r="C160" s="697"/>
      <c r="D160" s="410"/>
      <c r="E160" s="410"/>
      <c r="F160" s="410"/>
      <c r="G160" s="410"/>
    </row>
    <row r="161" spans="1:7" ht="15" customHeight="1">
      <c r="A161" s="260"/>
      <c r="B161" s="631" t="s">
        <v>161</v>
      </c>
      <c r="C161" s="632"/>
      <c r="D161" s="260"/>
      <c r="E161" s="260"/>
      <c r="F161" s="260"/>
      <c r="G161" s="260">
        <f>SUM(G159:G160)</f>
        <v>0</v>
      </c>
    </row>
    <row r="162" ht="15" customHeight="1">
      <c r="A162" s="345"/>
    </row>
    <row r="163" ht="14.25">
      <c r="A163" s="354" t="s">
        <v>162</v>
      </c>
    </row>
    <row r="164" ht="15" thickBot="1">
      <c r="A164" s="354"/>
    </row>
    <row r="165" spans="1:7" ht="28.5" customHeight="1">
      <c r="A165" s="362" t="s">
        <v>37</v>
      </c>
      <c r="B165" s="691" t="s">
        <v>38</v>
      </c>
      <c r="C165" s="692"/>
      <c r="D165" s="355" t="s">
        <v>39</v>
      </c>
      <c r="E165" s="356" t="s">
        <v>207</v>
      </c>
      <c r="F165" s="356" t="s">
        <v>58</v>
      </c>
      <c r="G165" s="356" t="s">
        <v>59</v>
      </c>
    </row>
    <row r="166" spans="1:7" ht="14.25" customHeight="1">
      <c r="A166" s="410" t="s">
        <v>9</v>
      </c>
      <c r="B166" s="678" t="s">
        <v>163</v>
      </c>
      <c r="C166" s="678"/>
      <c r="D166" s="410"/>
      <c r="E166" s="410"/>
      <c r="F166" s="410"/>
      <c r="G166" s="410"/>
    </row>
    <row r="167" spans="1:7" ht="14.25" customHeight="1">
      <c r="A167" s="410"/>
      <c r="B167" s="678" t="s">
        <v>164</v>
      </c>
      <c r="C167" s="678"/>
      <c r="D167" s="410" t="s">
        <v>165</v>
      </c>
      <c r="E167" s="416" t="s">
        <v>373</v>
      </c>
      <c r="F167" s="416">
        <v>77</v>
      </c>
      <c r="G167" s="416">
        <f>2*F167</f>
        <v>154</v>
      </c>
    </row>
    <row r="168" spans="1:7" ht="14.25" customHeight="1">
      <c r="A168" s="410"/>
      <c r="B168" s="678" t="s">
        <v>167</v>
      </c>
      <c r="C168" s="678"/>
      <c r="D168" s="410" t="s">
        <v>165</v>
      </c>
      <c r="E168" s="416"/>
      <c r="F168" s="416"/>
      <c r="G168" s="416">
        <f aca="true" t="shared" si="3" ref="G168:G176">E168*F168</f>
        <v>0</v>
      </c>
    </row>
    <row r="169" spans="1:7" ht="14.25" customHeight="1">
      <c r="A169" s="410"/>
      <c r="B169" s="678" t="s">
        <v>168</v>
      </c>
      <c r="C169" s="678"/>
      <c r="D169" s="410" t="s">
        <v>165</v>
      </c>
      <c r="E169" s="416" t="s">
        <v>575</v>
      </c>
      <c r="F169" s="416">
        <v>49</v>
      </c>
      <c r="G169" s="420">
        <f>40/60*F169</f>
        <v>32.666666666666664</v>
      </c>
    </row>
    <row r="170" spans="1:7" ht="29.25" customHeight="1">
      <c r="A170" s="410" t="s">
        <v>45</v>
      </c>
      <c r="B170" s="678" t="s">
        <v>170</v>
      </c>
      <c r="C170" s="678"/>
      <c r="D170" s="410" t="s">
        <v>165</v>
      </c>
      <c r="E170" s="416"/>
      <c r="F170" s="416"/>
      <c r="G170" s="416">
        <f t="shared" si="3"/>
        <v>0</v>
      </c>
    </row>
    <row r="171" spans="1:7" ht="15" customHeight="1">
      <c r="A171" s="410" t="s">
        <v>14</v>
      </c>
      <c r="B171" s="678" t="s">
        <v>171</v>
      </c>
      <c r="C171" s="678"/>
      <c r="D171" s="410" t="s">
        <v>85</v>
      </c>
      <c r="E171" s="416"/>
      <c r="F171" s="416"/>
      <c r="G171" s="416">
        <f t="shared" si="3"/>
        <v>0</v>
      </c>
    </row>
    <row r="172" spans="1:7" ht="15" customHeight="1">
      <c r="A172" s="410" t="s">
        <v>49</v>
      </c>
      <c r="B172" s="678" t="s">
        <v>172</v>
      </c>
      <c r="C172" s="678"/>
      <c r="D172" s="410" t="s">
        <v>91</v>
      </c>
      <c r="E172" s="416"/>
      <c r="F172" s="416"/>
      <c r="G172" s="416">
        <f t="shared" si="3"/>
        <v>0</v>
      </c>
    </row>
    <row r="173" spans="1:7" ht="15" customHeight="1">
      <c r="A173" s="410" t="s">
        <v>19</v>
      </c>
      <c r="B173" s="678" t="s">
        <v>174</v>
      </c>
      <c r="C173" s="678"/>
      <c r="D173" s="410" t="s">
        <v>43</v>
      </c>
      <c r="E173" s="416"/>
      <c r="F173" s="416"/>
      <c r="G173" s="416">
        <f t="shared" si="3"/>
        <v>0</v>
      </c>
    </row>
    <row r="174" spans="1:7" ht="14.25" customHeight="1">
      <c r="A174" s="410" t="s">
        <v>54</v>
      </c>
      <c r="B174" s="678" t="s">
        <v>175</v>
      </c>
      <c r="C174" s="678"/>
      <c r="D174" s="410" t="s">
        <v>43</v>
      </c>
      <c r="E174" s="416"/>
      <c r="F174" s="416"/>
      <c r="G174" s="416">
        <f t="shared" si="3"/>
        <v>0</v>
      </c>
    </row>
    <row r="175" spans="1:7" ht="14.25" customHeight="1">
      <c r="A175" s="410" t="s">
        <v>22</v>
      </c>
      <c r="B175" s="678" t="s">
        <v>176</v>
      </c>
      <c r="C175" s="678"/>
      <c r="D175" s="410" t="s">
        <v>43</v>
      </c>
      <c r="E175" s="416"/>
      <c r="F175" s="416"/>
      <c r="G175" s="416">
        <f t="shared" si="3"/>
        <v>0</v>
      </c>
    </row>
    <row r="176" spans="1:7" ht="15" customHeight="1">
      <c r="A176" s="410" t="s">
        <v>72</v>
      </c>
      <c r="B176" s="678" t="s">
        <v>209</v>
      </c>
      <c r="C176" s="678"/>
      <c r="D176" s="410" t="s">
        <v>85</v>
      </c>
      <c r="E176" s="416"/>
      <c r="F176" s="416"/>
      <c r="G176" s="416">
        <f t="shared" si="3"/>
        <v>0</v>
      </c>
    </row>
    <row r="177" spans="1:7" ht="15" customHeight="1">
      <c r="A177" s="260"/>
      <c r="B177" s="631" t="s">
        <v>177</v>
      </c>
      <c r="C177" s="632"/>
      <c r="D177" s="260"/>
      <c r="E177" s="260"/>
      <c r="F177" s="260"/>
      <c r="G177" s="263">
        <f>SUM(G167:G176)</f>
        <v>186.66666666666666</v>
      </c>
    </row>
    <row r="178" ht="13.5" customHeight="1">
      <c r="A178" s="345"/>
    </row>
    <row r="179" ht="14.25">
      <c r="A179" s="354" t="s">
        <v>178</v>
      </c>
    </row>
    <row r="180" ht="15" thickBot="1">
      <c r="A180" s="354"/>
    </row>
    <row r="181" spans="1:7" ht="28.5" customHeight="1">
      <c r="A181" s="362" t="s">
        <v>37</v>
      </c>
      <c r="B181" s="691" t="s">
        <v>38</v>
      </c>
      <c r="C181" s="692"/>
      <c r="D181" s="355" t="s">
        <v>39</v>
      </c>
      <c r="E181" s="356" t="s">
        <v>207</v>
      </c>
      <c r="F181" s="356" t="s">
        <v>58</v>
      </c>
      <c r="G181" s="356" t="s">
        <v>59</v>
      </c>
    </row>
    <row r="182" spans="1:7" ht="15" customHeight="1">
      <c r="A182" s="410" t="s">
        <v>9</v>
      </c>
      <c r="B182" s="678" t="s">
        <v>179</v>
      </c>
      <c r="C182" s="678"/>
      <c r="D182" s="410" t="s">
        <v>180</v>
      </c>
      <c r="E182" s="416"/>
      <c r="F182" s="416"/>
      <c r="G182" s="416">
        <f>E182*F182</f>
        <v>0</v>
      </c>
    </row>
    <row r="183" spans="1:7" ht="15" customHeight="1">
      <c r="A183" s="410" t="s">
        <v>45</v>
      </c>
      <c r="B183" s="678" t="s">
        <v>181</v>
      </c>
      <c r="C183" s="678"/>
      <c r="D183" s="410" t="s">
        <v>180</v>
      </c>
      <c r="E183" s="416"/>
      <c r="F183" s="416"/>
      <c r="G183" s="416">
        <f>E183*F183</f>
        <v>0</v>
      </c>
    </row>
    <row r="184" spans="1:7" ht="15" customHeight="1">
      <c r="A184" s="410" t="s">
        <v>14</v>
      </c>
      <c r="B184" s="678" t="s">
        <v>182</v>
      </c>
      <c r="C184" s="678"/>
      <c r="D184" s="410" t="s">
        <v>180</v>
      </c>
      <c r="E184" s="416"/>
      <c r="F184" s="416"/>
      <c r="G184" s="416">
        <f>E184*F184</f>
        <v>0</v>
      </c>
    </row>
    <row r="185" spans="1:7" ht="15" customHeight="1">
      <c r="A185" s="260"/>
      <c r="B185" s="631" t="s">
        <v>183</v>
      </c>
      <c r="C185" s="632"/>
      <c r="D185" s="260"/>
      <c r="E185" s="260"/>
      <c r="F185" s="260"/>
      <c r="G185" s="263">
        <f>SUM(G181:G184)</f>
        <v>0</v>
      </c>
    </row>
    <row r="186" ht="14.25">
      <c r="A186" s="345"/>
    </row>
    <row r="187" ht="14.25">
      <c r="A187" s="345"/>
    </row>
    <row r="188" ht="14.25">
      <c r="A188" s="345" t="s">
        <v>184</v>
      </c>
    </row>
    <row r="189" ht="15" thickBot="1">
      <c r="A189" s="345"/>
    </row>
    <row r="190" spans="1:7" ht="28.5" customHeight="1">
      <c r="A190" s="362" t="s">
        <v>37</v>
      </c>
      <c r="B190" s="691" t="s">
        <v>38</v>
      </c>
      <c r="C190" s="692"/>
      <c r="D190" s="355" t="s">
        <v>39</v>
      </c>
      <c r="E190" s="356" t="s">
        <v>210</v>
      </c>
      <c r="F190" s="356" t="s">
        <v>58</v>
      </c>
      <c r="G190" s="356" t="s">
        <v>59</v>
      </c>
    </row>
    <row r="191" spans="1:10" ht="15" customHeight="1">
      <c r="A191" s="410" t="s">
        <v>9</v>
      </c>
      <c r="B191" s="678" t="s">
        <v>185</v>
      </c>
      <c r="C191" s="678"/>
      <c r="D191" s="410" t="s">
        <v>85</v>
      </c>
      <c r="E191" s="289">
        <v>0.17</v>
      </c>
      <c r="F191" s="289">
        <v>32.6</v>
      </c>
      <c r="G191" s="290">
        <f>E191*F191</f>
        <v>5.542000000000001</v>
      </c>
      <c r="H191" s="243"/>
      <c r="I191" s="243"/>
      <c r="J191" s="243"/>
    </row>
    <row r="192" spans="1:10" ht="14.25" customHeight="1">
      <c r="A192" s="410" t="s">
        <v>45</v>
      </c>
      <c r="B192" s="678" t="s">
        <v>186</v>
      </c>
      <c r="C192" s="678"/>
      <c r="D192" s="410" t="s">
        <v>85</v>
      </c>
      <c r="E192" s="114"/>
      <c r="F192" s="44">
        <f>(1151.55+210.41+5.7+145.58)*1.2</f>
        <v>1815.888</v>
      </c>
      <c r="G192" s="103">
        <f>F192*E191</f>
        <v>308.70096</v>
      </c>
      <c r="H192" s="65"/>
      <c r="I192" s="65"/>
      <c r="J192" s="65"/>
    </row>
    <row r="193" spans="1:10" ht="14.25" customHeight="1">
      <c r="A193" s="410" t="s">
        <v>14</v>
      </c>
      <c r="B193" s="678" t="s">
        <v>187</v>
      </c>
      <c r="C193" s="678"/>
      <c r="D193" s="410" t="s">
        <v>85</v>
      </c>
      <c r="E193" s="114"/>
      <c r="F193" s="114"/>
      <c r="G193" s="114"/>
      <c r="H193" s="65"/>
      <c r="I193" s="65"/>
      <c r="J193" s="65"/>
    </row>
    <row r="194" spans="1:10" ht="14.25">
      <c r="A194" s="410" t="s">
        <v>49</v>
      </c>
      <c r="B194" s="678" t="s">
        <v>188</v>
      </c>
      <c r="C194" s="678"/>
      <c r="D194" s="410" t="s">
        <v>85</v>
      </c>
      <c r="E194" s="114"/>
      <c r="F194" s="114"/>
      <c r="G194" s="114"/>
      <c r="H194" s="65"/>
      <c r="I194" s="65"/>
      <c r="J194" s="65"/>
    </row>
    <row r="195" spans="1:10" ht="15" customHeight="1">
      <c r="A195" s="410" t="s">
        <v>19</v>
      </c>
      <c r="B195" s="678" t="s">
        <v>189</v>
      </c>
      <c r="C195" s="678"/>
      <c r="D195" s="410" t="s">
        <v>85</v>
      </c>
      <c r="E195" s="114"/>
      <c r="F195" s="114"/>
      <c r="G195" s="114"/>
      <c r="H195" s="65"/>
      <c r="I195" s="65"/>
      <c r="J195" s="65"/>
    </row>
    <row r="196" spans="1:10" ht="15" customHeight="1">
      <c r="A196" s="410" t="s">
        <v>54</v>
      </c>
      <c r="B196" s="678" t="s">
        <v>190</v>
      </c>
      <c r="C196" s="678"/>
      <c r="D196" s="410" t="s">
        <v>101</v>
      </c>
      <c r="E196" s="241">
        <f>J196/F196</f>
        <v>6.1454405113917</v>
      </c>
      <c r="F196" s="43">
        <v>1.68</v>
      </c>
      <c r="G196" s="240">
        <f>E196*F196</f>
        <v>10.324340059138056</v>
      </c>
      <c r="H196" s="54"/>
      <c r="I196" s="448">
        <f>1288300*0.4/8485.23</f>
        <v>60.7314121125768</v>
      </c>
      <c r="J196" s="448">
        <f>I196*E191</f>
        <v>10.324340059138056</v>
      </c>
    </row>
    <row r="197" spans="1:10" ht="15" customHeight="1">
      <c r="A197" s="410" t="s">
        <v>22</v>
      </c>
      <c r="B197" s="678" t="s">
        <v>191</v>
      </c>
      <c r="C197" s="678"/>
      <c r="D197" s="410" t="s">
        <v>192</v>
      </c>
      <c r="E197" s="446">
        <f>J197/F197</f>
        <v>0.03419822890983555</v>
      </c>
      <c r="F197" s="43">
        <f>987*1.2</f>
        <v>1184.3999999999999</v>
      </c>
      <c r="G197" s="240">
        <f>E197*F197</f>
        <v>40.50438232080922</v>
      </c>
      <c r="H197" s="54"/>
      <c r="I197" s="448">
        <f>2021700/8485.23</f>
        <v>238.26107247534836</v>
      </c>
      <c r="J197" s="448">
        <f>I197*E191</f>
        <v>40.50438232080922</v>
      </c>
    </row>
    <row r="198" spans="1:10" ht="15" customHeight="1">
      <c r="A198" s="410" t="s">
        <v>72</v>
      </c>
      <c r="B198" s="678" t="s">
        <v>193</v>
      </c>
      <c r="C198" s="678"/>
      <c r="D198" s="410" t="s">
        <v>85</v>
      </c>
      <c r="E198" s="447"/>
      <c r="F198" s="241">
        <f>(229000+16300)/8485.23</f>
        <v>28.909057267746427</v>
      </c>
      <c r="G198" s="240">
        <f>F198*E191</f>
        <v>4.914539735516893</v>
      </c>
      <c r="H198" s="54"/>
      <c r="I198" s="54"/>
      <c r="J198" s="54"/>
    </row>
    <row r="199" spans="1:10" ht="14.25" customHeight="1">
      <c r="A199" s="410" t="s">
        <v>26</v>
      </c>
      <c r="B199" s="678" t="s">
        <v>194</v>
      </c>
      <c r="C199" s="678"/>
      <c r="D199" s="410" t="s">
        <v>85</v>
      </c>
      <c r="E199" s="447"/>
      <c r="F199" s="43">
        <v>2693.4</v>
      </c>
      <c r="G199" s="240">
        <f>F199*E191</f>
        <v>457.87800000000004</v>
      </c>
      <c r="H199" s="54"/>
      <c r="I199" s="54"/>
      <c r="J199" s="54"/>
    </row>
    <row r="200" spans="1:10" ht="15" customHeight="1">
      <c r="A200" s="410" t="s">
        <v>31</v>
      </c>
      <c r="B200" s="678" t="s">
        <v>195</v>
      </c>
      <c r="C200" s="678"/>
      <c r="D200" s="410" t="s">
        <v>85</v>
      </c>
      <c r="E200" s="447"/>
      <c r="F200" s="43">
        <v>300.6</v>
      </c>
      <c r="G200" s="240">
        <f>F200*E191</f>
        <v>51.10200000000001</v>
      </c>
      <c r="H200" s="54"/>
      <c r="I200" s="54"/>
      <c r="J200" s="54"/>
    </row>
    <row r="201" spans="1:10" ht="15" customHeight="1">
      <c r="A201" s="410" t="s">
        <v>79</v>
      </c>
      <c r="B201" s="678" t="s">
        <v>196</v>
      </c>
      <c r="C201" s="678"/>
      <c r="D201" s="410" t="s">
        <v>85</v>
      </c>
      <c r="E201" s="447"/>
      <c r="F201" s="43">
        <v>1242.8</v>
      </c>
      <c r="G201" s="240">
        <f>F201*E191</f>
        <v>211.276</v>
      </c>
      <c r="H201" s="54"/>
      <c r="I201" s="54"/>
      <c r="J201" s="54"/>
    </row>
    <row r="202" ht="14.25">
      <c r="A202" s="345"/>
    </row>
    <row r="203" ht="14.25">
      <c r="A203" s="345" t="s">
        <v>197</v>
      </c>
    </row>
    <row r="204" ht="15" thickBot="1">
      <c r="A204" s="354"/>
    </row>
    <row r="205" spans="1:7" ht="14.25" customHeight="1">
      <c r="A205" s="683" t="s">
        <v>37</v>
      </c>
      <c r="B205" s="691" t="s">
        <v>38</v>
      </c>
      <c r="C205" s="692"/>
      <c r="D205" s="355" t="s">
        <v>198</v>
      </c>
      <c r="E205" s="691" t="s">
        <v>59</v>
      </c>
      <c r="F205" s="699"/>
      <c r="G205" s="692"/>
    </row>
    <row r="206" spans="1:7" ht="14.25">
      <c r="A206" s="684"/>
      <c r="B206" s="693"/>
      <c r="C206" s="694"/>
      <c r="D206" s="418" t="s">
        <v>199</v>
      </c>
      <c r="E206" s="693"/>
      <c r="F206" s="700"/>
      <c r="G206" s="694"/>
    </row>
    <row r="207" spans="1:7" ht="15" customHeight="1">
      <c r="A207" s="410" t="s">
        <v>9</v>
      </c>
      <c r="B207" s="678" t="s">
        <v>200</v>
      </c>
      <c r="C207" s="678"/>
      <c r="D207" s="410" t="s">
        <v>85</v>
      </c>
      <c r="E207" s="662">
        <f>G44+G55+G59+G60+G92+G113+G125+G138+G153+G161+G177+G185</f>
        <v>2247.346865112898</v>
      </c>
      <c r="F207" s="662"/>
      <c r="G207" s="662"/>
    </row>
    <row r="208" spans="1:7" ht="15" customHeight="1">
      <c r="A208" s="410" t="s">
        <v>45</v>
      </c>
      <c r="B208" s="678" t="s">
        <v>201</v>
      </c>
      <c r="C208" s="678"/>
      <c r="D208" s="410" t="s">
        <v>85</v>
      </c>
      <c r="E208" s="662">
        <f>SUM(G191:G201)</f>
        <v>1090.242222115464</v>
      </c>
      <c r="F208" s="662"/>
      <c r="G208" s="662"/>
    </row>
    <row r="209" spans="1:7" ht="14.25">
      <c r="A209" s="410" t="s">
        <v>14</v>
      </c>
      <c r="B209" s="678" t="s">
        <v>202</v>
      </c>
      <c r="C209" s="678"/>
      <c r="D209" s="410" t="s">
        <v>85</v>
      </c>
      <c r="E209" s="662">
        <f>SUM(E207:G208)</f>
        <v>3337.5890872283617</v>
      </c>
      <c r="F209" s="662"/>
      <c r="G209" s="662"/>
    </row>
    <row r="210" spans="1:7" ht="15" customHeight="1">
      <c r="A210" s="410">
        <v>4</v>
      </c>
      <c r="B210" s="678" t="s">
        <v>203</v>
      </c>
      <c r="C210" s="678"/>
      <c r="D210" s="410" t="s">
        <v>85</v>
      </c>
      <c r="E210" s="698"/>
      <c r="F210" s="698"/>
      <c r="G210" s="698"/>
    </row>
    <row r="211" spans="1:7" ht="15" customHeight="1">
      <c r="A211" s="410" t="s">
        <v>19</v>
      </c>
      <c r="B211" s="678" t="s">
        <v>204</v>
      </c>
      <c r="C211" s="678"/>
      <c r="D211" s="410" t="s">
        <v>85</v>
      </c>
      <c r="E211" s="701">
        <f>E209-E210</f>
        <v>3337.5890872283617</v>
      </c>
      <c r="F211" s="701"/>
      <c r="G211" s="701"/>
    </row>
    <row r="212" ht="14.25">
      <c r="A212" s="361"/>
    </row>
    <row r="213" ht="14.25">
      <c r="A213" s="361"/>
    </row>
    <row r="214" ht="14.25">
      <c r="B214" s="374" t="s">
        <v>63</v>
      </c>
    </row>
    <row r="215" ht="14.25">
      <c r="A215" s="361"/>
    </row>
    <row r="216" ht="14.25">
      <c r="B216" s="374" t="s">
        <v>206</v>
      </c>
    </row>
  </sheetData>
  <sheetProtection/>
  <mergeCells count="164">
    <mergeCell ref="B177:C177"/>
    <mergeCell ref="A7:G7"/>
    <mergeCell ref="A8:G8"/>
    <mergeCell ref="A9:G9"/>
    <mergeCell ref="B27:G27"/>
    <mergeCell ref="D24:E24"/>
    <mergeCell ref="F16:G16"/>
    <mergeCell ref="F18:G18"/>
    <mergeCell ref="F20:G20"/>
    <mergeCell ref="B28:G28"/>
    <mergeCell ref="C26:G26"/>
    <mergeCell ref="E47:E48"/>
    <mergeCell ref="B33:C34"/>
    <mergeCell ref="B35:C35"/>
    <mergeCell ref="F47:F48"/>
    <mergeCell ref="B41:C41"/>
    <mergeCell ref="B42:C42"/>
    <mergeCell ref="B43:C43"/>
    <mergeCell ref="D16:E16"/>
    <mergeCell ref="D18:E18"/>
    <mergeCell ref="D20:E20"/>
    <mergeCell ref="D22:E22"/>
    <mergeCell ref="F22:G22"/>
    <mergeCell ref="F24:G24"/>
    <mergeCell ref="E211:G211"/>
    <mergeCell ref="B205:C206"/>
    <mergeCell ref="B207:C207"/>
    <mergeCell ref="B208:C208"/>
    <mergeCell ref="B209:C209"/>
    <mergeCell ref="B210:C210"/>
    <mergeCell ref="B211:C211"/>
    <mergeCell ref="E207:G207"/>
    <mergeCell ref="E208:G208"/>
    <mergeCell ref="E209:G209"/>
    <mergeCell ref="B196:C196"/>
    <mergeCell ref="B197:C197"/>
    <mergeCell ref="B198:C198"/>
    <mergeCell ref="E210:G210"/>
    <mergeCell ref="B199:C199"/>
    <mergeCell ref="B200:C200"/>
    <mergeCell ref="B201:C201"/>
    <mergeCell ref="E205:G206"/>
    <mergeCell ref="B192:C192"/>
    <mergeCell ref="B193:C193"/>
    <mergeCell ref="B183:C183"/>
    <mergeCell ref="B184:C184"/>
    <mergeCell ref="B194:C194"/>
    <mergeCell ref="B195:C195"/>
    <mergeCell ref="B191:C191"/>
    <mergeCell ref="B169:C169"/>
    <mergeCell ref="B160:C160"/>
    <mergeCell ref="B161:C161"/>
    <mergeCell ref="B190:C190"/>
    <mergeCell ref="B185:C185"/>
    <mergeCell ref="B167:C167"/>
    <mergeCell ref="B181:C181"/>
    <mergeCell ref="B174:C174"/>
    <mergeCell ref="B175:C175"/>
    <mergeCell ref="B176:C176"/>
    <mergeCell ref="B143:C143"/>
    <mergeCell ref="B171:C171"/>
    <mergeCell ref="B172:C172"/>
    <mergeCell ref="B173:C173"/>
    <mergeCell ref="B170:C170"/>
    <mergeCell ref="B152:C152"/>
    <mergeCell ref="B151:C151"/>
    <mergeCell ref="B168:C168"/>
    <mergeCell ref="B153:C153"/>
    <mergeCell ref="B165:C165"/>
    <mergeCell ref="B70:C70"/>
    <mergeCell ref="B71:C71"/>
    <mergeCell ref="B72:C72"/>
    <mergeCell ref="B73:C73"/>
    <mergeCell ref="B74:C74"/>
    <mergeCell ref="B75:C75"/>
    <mergeCell ref="B147:C147"/>
    <mergeCell ref="B144:C144"/>
    <mergeCell ref="B97:C97"/>
    <mergeCell ref="B145:C145"/>
    <mergeCell ref="B146:C146"/>
    <mergeCell ref="B137:C137"/>
    <mergeCell ref="B134:C134"/>
    <mergeCell ref="B136:C136"/>
    <mergeCell ref="B104:C104"/>
    <mergeCell ref="B125:C125"/>
    <mergeCell ref="G47:G48"/>
    <mergeCell ref="B76:C76"/>
    <mergeCell ref="B77:C77"/>
    <mergeCell ref="B68:C68"/>
    <mergeCell ref="B69:C69"/>
    <mergeCell ref="B47:C47"/>
    <mergeCell ref="B63:C63"/>
    <mergeCell ref="B58:C58"/>
    <mergeCell ref="B66:C66"/>
    <mergeCell ref="D47:D48"/>
    <mergeCell ref="D130:G130"/>
    <mergeCell ref="D131:G131"/>
    <mergeCell ref="B82:C82"/>
    <mergeCell ref="B80:C80"/>
    <mergeCell ref="B81:C81"/>
    <mergeCell ref="A83:C83"/>
    <mergeCell ref="A84:C84"/>
    <mergeCell ref="B91:C91"/>
    <mergeCell ref="B101:C101"/>
    <mergeCell ref="B102:C102"/>
    <mergeCell ref="A157:A158"/>
    <mergeCell ref="B157:C158"/>
    <mergeCell ref="B105:C105"/>
    <mergeCell ref="B106:C106"/>
    <mergeCell ref="B107:C107"/>
    <mergeCell ref="B108:C108"/>
    <mergeCell ref="B109:C109"/>
    <mergeCell ref="B150:C150"/>
    <mergeCell ref="B149:C149"/>
    <mergeCell ref="B148:C148"/>
    <mergeCell ref="B159:C159"/>
    <mergeCell ref="B166:C166"/>
    <mergeCell ref="A205:A206"/>
    <mergeCell ref="B119:C119"/>
    <mergeCell ref="B120:C120"/>
    <mergeCell ref="B121:C121"/>
    <mergeCell ref="B122:C122"/>
    <mergeCell ref="B123:C123"/>
    <mergeCell ref="B124:C124"/>
    <mergeCell ref="B182:C182"/>
    <mergeCell ref="A33:A34"/>
    <mergeCell ref="B44:C44"/>
    <mergeCell ref="B59:C59"/>
    <mergeCell ref="B60:C60"/>
    <mergeCell ref="A40:A43"/>
    <mergeCell ref="B36:C36"/>
    <mergeCell ref="B37:C37"/>
    <mergeCell ref="B38:C38"/>
    <mergeCell ref="B39:C39"/>
    <mergeCell ref="B40:C40"/>
    <mergeCell ref="A47:A48"/>
    <mergeCell ref="A78:C78"/>
    <mergeCell ref="A79:C79"/>
    <mergeCell ref="B87:C87"/>
    <mergeCell ref="B85:C85"/>
    <mergeCell ref="B86:C86"/>
    <mergeCell ref="B67:C67"/>
    <mergeCell ref="A64:C64"/>
    <mergeCell ref="A65:C65"/>
    <mergeCell ref="A89:C89"/>
    <mergeCell ref="B90:C90"/>
    <mergeCell ref="B103:C103"/>
    <mergeCell ref="B111:C111"/>
    <mergeCell ref="B96:C96"/>
    <mergeCell ref="B92:C92"/>
    <mergeCell ref="B110:C110"/>
    <mergeCell ref="B98:C98"/>
    <mergeCell ref="B99:C99"/>
    <mergeCell ref="B100:C100"/>
    <mergeCell ref="B112:C112"/>
    <mergeCell ref="B118:C118"/>
    <mergeCell ref="B113:C113"/>
    <mergeCell ref="B138:C138"/>
    <mergeCell ref="B129:C129"/>
    <mergeCell ref="B130:C130"/>
    <mergeCell ref="B131:C131"/>
    <mergeCell ref="B132:C132"/>
    <mergeCell ref="B133:C133"/>
    <mergeCell ref="B135:C135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2">
      <selection activeCell="I32" sqref="I32"/>
    </sheetView>
  </sheetViews>
  <sheetFormatPr defaultColWidth="9.00390625" defaultRowHeight="12.75"/>
  <cols>
    <col min="1" max="1" width="5.625" style="376" customWidth="1"/>
    <col min="2" max="2" width="16.00390625" style="376" customWidth="1"/>
    <col min="3" max="3" width="33.875" style="376" customWidth="1"/>
    <col min="4" max="4" width="9.625" style="376" customWidth="1"/>
    <col min="5" max="5" width="10.375" style="376" customWidth="1"/>
    <col min="6" max="7" width="11.875" style="376" customWidth="1"/>
    <col min="8" max="16384" width="9.125" style="376" customWidth="1"/>
  </cols>
  <sheetData>
    <row r="1" ht="18">
      <c r="A1" s="375" t="s">
        <v>519</v>
      </c>
    </row>
    <row r="2" ht="18">
      <c r="A2" s="375" t="s">
        <v>520</v>
      </c>
    </row>
    <row r="3" ht="18">
      <c r="A3" s="375" t="s">
        <v>521</v>
      </c>
    </row>
    <row r="7" spans="1:7" ht="18">
      <c r="A7" s="752" t="s">
        <v>5</v>
      </c>
      <c r="B7" s="752"/>
      <c r="C7" s="752"/>
      <c r="D7" s="752"/>
      <c r="E7" s="752"/>
      <c r="F7" s="752"/>
      <c r="G7" s="752"/>
    </row>
    <row r="8" spans="1:7" ht="18">
      <c r="A8" s="753" t="s">
        <v>6</v>
      </c>
      <c r="B8" s="753"/>
      <c r="C8" s="753"/>
      <c r="D8" s="753"/>
      <c r="E8" s="753"/>
      <c r="F8" s="753"/>
      <c r="G8" s="753"/>
    </row>
    <row r="9" spans="1:7" ht="18">
      <c r="A9" s="752" t="s">
        <v>7</v>
      </c>
      <c r="B9" s="752"/>
      <c r="C9" s="752"/>
      <c r="D9" s="752"/>
      <c r="E9" s="752"/>
      <c r="F9" s="752"/>
      <c r="G9" s="752"/>
    </row>
    <row r="14" ht="14.25">
      <c r="A14" s="377" t="s">
        <v>8</v>
      </c>
    </row>
    <row r="15" ht="13.5" thickBot="1"/>
    <row r="16" spans="1:7" ht="42.75" customHeight="1" thickBot="1">
      <c r="A16" s="378" t="s">
        <v>9</v>
      </c>
      <c r="B16" s="379" t="s">
        <v>10</v>
      </c>
      <c r="C16" s="379" t="s">
        <v>531</v>
      </c>
      <c r="D16" s="741" t="s">
        <v>12</v>
      </c>
      <c r="E16" s="742"/>
      <c r="F16" s="741" t="s">
        <v>523</v>
      </c>
      <c r="G16" s="742"/>
    </row>
    <row r="17" ht="13.5" thickBot="1">
      <c r="A17" s="381"/>
    </row>
    <row r="18" spans="1:7" ht="43.5" customHeight="1" thickBot="1">
      <c r="A18" s="378" t="s">
        <v>14</v>
      </c>
      <c r="B18" s="379" t="s">
        <v>15</v>
      </c>
      <c r="C18" s="379" t="s">
        <v>532</v>
      </c>
      <c r="D18" s="741" t="s">
        <v>17</v>
      </c>
      <c r="E18" s="742"/>
      <c r="F18" s="741" t="s">
        <v>533</v>
      </c>
      <c r="G18" s="742"/>
    </row>
    <row r="19" ht="13.5" thickBot="1">
      <c r="A19" s="381"/>
    </row>
    <row r="20" spans="1:7" ht="43.5" customHeight="1" thickBot="1">
      <c r="A20" s="378" t="s">
        <v>19</v>
      </c>
      <c r="B20" s="379" t="s">
        <v>20</v>
      </c>
      <c r="C20" s="380">
        <v>22</v>
      </c>
      <c r="D20" s="741" t="s">
        <v>21</v>
      </c>
      <c r="E20" s="742"/>
      <c r="F20" s="741" t="s">
        <v>436</v>
      </c>
      <c r="G20" s="742"/>
    </row>
    <row r="21" ht="13.5" thickBot="1">
      <c r="A21" s="381"/>
    </row>
    <row r="22" spans="1:7" ht="43.5" customHeight="1" thickBot="1">
      <c r="A22" s="378" t="s">
        <v>22</v>
      </c>
      <c r="B22" s="379" t="s">
        <v>23</v>
      </c>
      <c r="C22" s="379" t="s">
        <v>360</v>
      </c>
      <c r="D22" s="741" t="s">
        <v>25</v>
      </c>
      <c r="E22" s="742"/>
      <c r="F22" s="741"/>
      <c r="G22" s="742"/>
    </row>
    <row r="23" ht="13.5" thickBot="1">
      <c r="A23" s="381"/>
    </row>
    <row r="24" spans="1:7" ht="29.25" customHeight="1" thickBot="1">
      <c r="A24" s="378" t="s">
        <v>26</v>
      </c>
      <c r="B24" s="379" t="s">
        <v>27</v>
      </c>
      <c r="C24" s="382" t="s">
        <v>28</v>
      </c>
      <c r="D24" s="754" t="s">
        <v>29</v>
      </c>
      <c r="E24" s="755"/>
      <c r="F24" s="743" t="s">
        <v>30</v>
      </c>
      <c r="G24" s="744"/>
    </row>
    <row r="25" ht="13.5" thickBot="1">
      <c r="A25" s="381"/>
    </row>
    <row r="26" spans="1:7" ht="15" thickBot="1">
      <c r="A26" s="383" t="s">
        <v>31</v>
      </c>
      <c r="B26" s="384" t="s">
        <v>32</v>
      </c>
      <c r="C26" s="745" t="s">
        <v>534</v>
      </c>
      <c r="D26" s="746"/>
      <c r="E26" s="746"/>
      <c r="F26" s="746"/>
      <c r="G26" s="747"/>
    </row>
    <row r="27" spans="1:7" ht="15" thickBot="1">
      <c r="A27" s="385"/>
      <c r="B27" s="745"/>
      <c r="C27" s="746"/>
      <c r="D27" s="746"/>
      <c r="E27" s="746"/>
      <c r="F27" s="746"/>
      <c r="G27" s="747"/>
    </row>
    <row r="28" spans="1:7" ht="15" thickBot="1">
      <c r="A28" s="385"/>
      <c r="B28" s="745"/>
      <c r="C28" s="746"/>
      <c r="D28" s="746"/>
      <c r="E28" s="746"/>
      <c r="F28" s="746"/>
      <c r="G28" s="747"/>
    </row>
    <row r="30" ht="14.25">
      <c r="A30" s="377" t="s">
        <v>35</v>
      </c>
    </row>
    <row r="31" ht="14.25">
      <c r="A31" s="377"/>
    </row>
    <row r="32" ht="15" thickBot="1">
      <c r="A32" s="386" t="s">
        <v>36</v>
      </c>
    </row>
    <row r="33" spans="1:7" ht="28.5">
      <c r="A33" s="722" t="s">
        <v>37</v>
      </c>
      <c r="B33" s="730" t="s">
        <v>38</v>
      </c>
      <c r="C33" s="731"/>
      <c r="D33" s="387" t="s">
        <v>39</v>
      </c>
      <c r="E33" s="388" t="s">
        <v>207</v>
      </c>
      <c r="F33" s="388" t="s">
        <v>40</v>
      </c>
      <c r="G33" s="388" t="s">
        <v>41</v>
      </c>
    </row>
    <row r="34" spans="1:7" ht="18.75" customHeight="1" thickBot="1">
      <c r="A34" s="725"/>
      <c r="B34" s="748"/>
      <c r="C34" s="749"/>
      <c r="D34" s="389"/>
      <c r="E34" s="390"/>
      <c r="F34" s="390"/>
      <c r="G34" s="390"/>
    </row>
    <row r="35" spans="1:7" ht="14.25">
      <c r="A35" s="424">
        <v>1</v>
      </c>
      <c r="B35" s="750">
        <v>2</v>
      </c>
      <c r="C35" s="751"/>
      <c r="D35" s="425">
        <v>3</v>
      </c>
      <c r="E35" s="426">
        <v>4</v>
      </c>
      <c r="F35" s="426">
        <v>5</v>
      </c>
      <c r="G35" s="426">
        <v>6</v>
      </c>
    </row>
    <row r="36" spans="1:7" ht="15" customHeight="1">
      <c r="A36" s="427" t="s">
        <v>9</v>
      </c>
      <c r="B36" s="717" t="s">
        <v>526</v>
      </c>
      <c r="C36" s="717"/>
      <c r="D36" s="427" t="s">
        <v>43</v>
      </c>
      <c r="E36" s="427">
        <v>4</v>
      </c>
      <c r="F36" s="445">
        <f>F52/22</f>
        <v>1.6818863295624915</v>
      </c>
      <c r="G36" s="437">
        <f aca="true" t="shared" si="0" ref="G36:G43">E36*F36</f>
        <v>6.727545318249966</v>
      </c>
    </row>
    <row r="37" spans="1:7" ht="15" customHeight="1">
      <c r="A37" s="427" t="s">
        <v>45</v>
      </c>
      <c r="B37" s="717" t="s">
        <v>527</v>
      </c>
      <c r="C37" s="717"/>
      <c r="D37" s="427" t="s">
        <v>43</v>
      </c>
      <c r="E37" s="427">
        <v>6</v>
      </c>
      <c r="F37" s="445">
        <f>F52/22</f>
        <v>1.6818863295624915</v>
      </c>
      <c r="G37" s="437">
        <f t="shared" si="0"/>
        <v>10.091317977374949</v>
      </c>
    </row>
    <row r="38" spans="1:7" ht="15" customHeight="1">
      <c r="A38" s="427" t="s">
        <v>14</v>
      </c>
      <c r="B38" s="717" t="s">
        <v>528</v>
      </c>
      <c r="C38" s="717"/>
      <c r="D38" s="427" t="s">
        <v>43</v>
      </c>
      <c r="E38" s="427">
        <v>2</v>
      </c>
      <c r="F38" s="445">
        <f>F52/22</f>
        <v>1.6818863295624915</v>
      </c>
      <c r="G38" s="437">
        <f t="shared" si="0"/>
        <v>3.363772659124983</v>
      </c>
    </row>
    <row r="39" spans="1:7" ht="15" customHeight="1">
      <c r="A39" s="427" t="s">
        <v>49</v>
      </c>
      <c r="B39" s="717" t="s">
        <v>50</v>
      </c>
      <c r="C39" s="717"/>
      <c r="D39" s="427" t="s">
        <v>43</v>
      </c>
      <c r="E39" s="427">
        <v>4</v>
      </c>
      <c r="F39" s="445">
        <f>F52/22</f>
        <v>1.6818863295624915</v>
      </c>
      <c r="G39" s="437">
        <f t="shared" si="0"/>
        <v>6.727545318249966</v>
      </c>
    </row>
    <row r="40" spans="1:7" ht="15" customHeight="1">
      <c r="A40" s="726" t="s">
        <v>19</v>
      </c>
      <c r="B40" s="727" t="s">
        <v>51</v>
      </c>
      <c r="C40" s="728"/>
      <c r="D40" s="392"/>
      <c r="E40" s="391"/>
      <c r="F40" s="428"/>
      <c r="G40" s="437">
        <f t="shared" si="0"/>
        <v>0</v>
      </c>
    </row>
    <row r="41" spans="1:7" ht="14.25" customHeight="1">
      <c r="A41" s="726"/>
      <c r="B41" s="727" t="s">
        <v>52</v>
      </c>
      <c r="C41" s="728"/>
      <c r="D41" s="392"/>
      <c r="E41" s="391"/>
      <c r="F41" s="428"/>
      <c r="G41" s="437">
        <f t="shared" si="0"/>
        <v>0</v>
      </c>
    </row>
    <row r="42" spans="1:7" ht="15.75" customHeight="1">
      <c r="A42" s="726"/>
      <c r="B42" s="727" t="s">
        <v>53</v>
      </c>
      <c r="C42" s="728"/>
      <c r="D42" s="392"/>
      <c r="E42" s="391"/>
      <c r="F42" s="428"/>
      <c r="G42" s="437">
        <f t="shared" si="0"/>
        <v>0</v>
      </c>
    </row>
    <row r="43" spans="1:7" ht="14.25">
      <c r="A43" s="726"/>
      <c r="B43" s="727" t="s">
        <v>53</v>
      </c>
      <c r="C43" s="728"/>
      <c r="D43" s="392"/>
      <c r="E43" s="391"/>
      <c r="F43" s="428"/>
      <c r="G43" s="437">
        <f t="shared" si="0"/>
        <v>0</v>
      </c>
    </row>
    <row r="44" spans="1:7" ht="14.25">
      <c r="A44" s="427" t="s">
        <v>54</v>
      </c>
      <c r="B44" s="717" t="s">
        <v>55</v>
      </c>
      <c r="C44" s="717"/>
      <c r="D44" s="427"/>
      <c r="E44" s="427"/>
      <c r="F44" s="427"/>
      <c r="G44" s="437">
        <f>SUM(G36:G43)</f>
        <v>26.910181272999864</v>
      </c>
    </row>
    <row r="45" ht="14.25">
      <c r="A45" s="386"/>
    </row>
    <row r="46" ht="15" thickBot="1">
      <c r="A46" s="386" t="s">
        <v>56</v>
      </c>
    </row>
    <row r="47" spans="1:7" ht="27.75" customHeight="1" thickBot="1">
      <c r="A47" s="722" t="s">
        <v>37</v>
      </c>
      <c r="B47" s="734" t="s">
        <v>57</v>
      </c>
      <c r="C47" s="735"/>
      <c r="D47" s="730" t="s">
        <v>39</v>
      </c>
      <c r="E47" s="730" t="s">
        <v>207</v>
      </c>
      <c r="F47" s="722" t="s">
        <v>58</v>
      </c>
      <c r="G47" s="731" t="s">
        <v>59</v>
      </c>
    </row>
    <row r="48" spans="1:7" ht="15" customHeight="1">
      <c r="A48" s="723"/>
      <c r="B48" s="426" t="s">
        <v>60</v>
      </c>
      <c r="C48" s="429" t="s">
        <v>61</v>
      </c>
      <c r="D48" s="732"/>
      <c r="E48" s="732"/>
      <c r="F48" s="723"/>
      <c r="G48" s="733"/>
    </row>
    <row r="49" spans="1:7" ht="14.25" customHeight="1">
      <c r="A49" s="427">
        <v>1</v>
      </c>
      <c r="B49" s="430" t="s">
        <v>62</v>
      </c>
      <c r="C49" s="430" t="s">
        <v>395</v>
      </c>
      <c r="D49" s="427" t="s">
        <v>43</v>
      </c>
      <c r="E49" s="427">
        <v>1</v>
      </c>
      <c r="F49" s="422">
        <f>6600*12/2001</f>
        <v>39.58020989505248</v>
      </c>
      <c r="G49" s="437">
        <f aca="true" t="shared" si="1" ref="G49:G54">E49*F49</f>
        <v>39.58020989505248</v>
      </c>
    </row>
    <row r="50" spans="1:9" ht="15" customHeight="1">
      <c r="A50" s="427">
        <v>2</v>
      </c>
      <c r="B50" s="413" t="s">
        <v>425</v>
      </c>
      <c r="C50" s="413" t="s">
        <v>395</v>
      </c>
      <c r="D50" s="427" t="s">
        <v>43</v>
      </c>
      <c r="E50" s="427">
        <v>8</v>
      </c>
      <c r="F50" s="422">
        <f>3894*12/2001</f>
        <v>23.35232383808096</v>
      </c>
      <c r="G50" s="423">
        <f t="shared" si="1"/>
        <v>186.81859070464768</v>
      </c>
      <c r="H50" s="344"/>
      <c r="I50" s="318" t="s">
        <v>431</v>
      </c>
    </row>
    <row r="51" spans="1:7" ht="15" customHeight="1">
      <c r="A51" s="427">
        <v>3</v>
      </c>
      <c r="B51" s="413" t="s">
        <v>572</v>
      </c>
      <c r="C51" s="413" t="s">
        <v>573</v>
      </c>
      <c r="D51" s="427" t="s">
        <v>43</v>
      </c>
      <c r="E51" s="427">
        <v>3</v>
      </c>
      <c r="F51" s="422">
        <f>7260*12/2001</f>
        <v>43.53823088455772</v>
      </c>
      <c r="G51" s="423">
        <f t="shared" si="1"/>
        <v>130.61469265367316</v>
      </c>
    </row>
    <row r="52" spans="1:7" ht="15" customHeight="1">
      <c r="A52" s="427">
        <v>4</v>
      </c>
      <c r="B52" s="413" t="s">
        <v>75</v>
      </c>
      <c r="C52" s="413" t="s">
        <v>529</v>
      </c>
      <c r="D52" s="427" t="s">
        <v>43</v>
      </c>
      <c r="E52" s="427">
        <v>3</v>
      </c>
      <c r="F52" s="422">
        <f>3085*12/1000.5</f>
        <v>37.00149925037481</v>
      </c>
      <c r="G52" s="437">
        <f t="shared" si="1"/>
        <v>111.00449775112443</v>
      </c>
    </row>
    <row r="53" spans="1:7" ht="15" customHeight="1">
      <c r="A53" s="427">
        <v>5</v>
      </c>
      <c r="B53" s="413" t="s">
        <v>73</v>
      </c>
      <c r="C53" s="413" t="s">
        <v>529</v>
      </c>
      <c r="D53" s="427" t="s">
        <v>43</v>
      </c>
      <c r="E53" s="427">
        <v>2</v>
      </c>
      <c r="F53" s="422">
        <f>3085*12/1000.5</f>
        <v>37.00149925037481</v>
      </c>
      <c r="G53" s="437">
        <f t="shared" si="1"/>
        <v>74.00299850074963</v>
      </c>
    </row>
    <row r="54" spans="1:7" ht="15" customHeight="1">
      <c r="A54" s="427">
        <v>6</v>
      </c>
      <c r="B54" s="430" t="s">
        <v>70</v>
      </c>
      <c r="C54" s="430" t="s">
        <v>529</v>
      </c>
      <c r="D54" s="427" t="s">
        <v>43</v>
      </c>
      <c r="E54" s="427">
        <v>18</v>
      </c>
      <c r="F54" s="422">
        <f>3085*12/1000.5</f>
        <v>37.00149925037481</v>
      </c>
      <c r="G54" s="437">
        <f t="shared" si="1"/>
        <v>666.0269865067467</v>
      </c>
    </row>
    <row r="55" spans="1:7" ht="15" customHeight="1">
      <c r="A55" s="427"/>
      <c r="B55" s="430" t="s">
        <v>82</v>
      </c>
      <c r="C55" s="430"/>
      <c r="D55" s="427"/>
      <c r="E55" s="427"/>
      <c r="F55" s="427"/>
      <c r="G55" s="437">
        <f>SUM(G49:G54)</f>
        <v>1208.047976011994</v>
      </c>
    </row>
    <row r="56" ht="15" customHeight="1">
      <c r="A56" s="393"/>
    </row>
    <row r="57" ht="15" thickBot="1">
      <c r="A57" s="386" t="s">
        <v>83</v>
      </c>
    </row>
    <row r="58" spans="1:7" ht="28.5" customHeight="1">
      <c r="A58" s="394" t="s">
        <v>37</v>
      </c>
      <c r="B58" s="730" t="s">
        <v>38</v>
      </c>
      <c r="C58" s="731"/>
      <c r="D58" s="388" t="s">
        <v>39</v>
      </c>
      <c r="E58" s="388" t="s">
        <v>207</v>
      </c>
      <c r="F58" s="388" t="s">
        <v>58</v>
      </c>
      <c r="G58" s="388" t="s">
        <v>59</v>
      </c>
    </row>
    <row r="59" spans="1:7" ht="15" customHeight="1">
      <c r="A59" s="427" t="s">
        <v>9</v>
      </c>
      <c r="B59" s="717" t="s">
        <v>84</v>
      </c>
      <c r="C59" s="717"/>
      <c r="D59" s="427" t="s">
        <v>85</v>
      </c>
      <c r="E59" s="431"/>
      <c r="F59" s="431"/>
      <c r="G59" s="437">
        <f>(G44+G55)*0.23</f>
        <v>284.0403761755486</v>
      </c>
    </row>
    <row r="60" spans="1:7" ht="15" customHeight="1">
      <c r="A60" s="427" t="s">
        <v>45</v>
      </c>
      <c r="B60" s="717" t="s">
        <v>539</v>
      </c>
      <c r="C60" s="717"/>
      <c r="D60" s="427" t="s">
        <v>85</v>
      </c>
      <c r="E60" s="431"/>
      <c r="F60" s="431"/>
      <c r="G60" s="437">
        <f>(G44+G55)*0.04</f>
        <v>49.398326291399755</v>
      </c>
    </row>
    <row r="61" ht="18" customHeight="1">
      <c r="A61" s="393"/>
    </row>
    <row r="62" ht="15" thickBot="1">
      <c r="A62" s="386" t="s">
        <v>87</v>
      </c>
    </row>
    <row r="63" spans="1:7" ht="27" customHeight="1" thickBot="1">
      <c r="A63" s="388" t="s">
        <v>37</v>
      </c>
      <c r="B63" s="730" t="s">
        <v>38</v>
      </c>
      <c r="C63" s="731"/>
      <c r="D63" s="387" t="s">
        <v>39</v>
      </c>
      <c r="E63" s="394" t="s">
        <v>207</v>
      </c>
      <c r="F63" s="388" t="s">
        <v>58</v>
      </c>
      <c r="G63" s="388" t="s">
        <v>59</v>
      </c>
    </row>
    <row r="64" spans="1:7" ht="15" customHeight="1">
      <c r="A64" s="724"/>
      <c r="B64" s="724"/>
      <c r="C64" s="724"/>
      <c r="D64" s="395"/>
      <c r="E64" s="395"/>
      <c r="F64" s="396"/>
      <c r="G64" s="396"/>
    </row>
    <row r="65" spans="1:7" ht="14.25">
      <c r="A65" s="718" t="s">
        <v>88</v>
      </c>
      <c r="B65" s="718"/>
      <c r="C65" s="718"/>
      <c r="D65" s="398"/>
      <c r="E65" s="398"/>
      <c r="F65" s="400"/>
      <c r="G65" s="400"/>
    </row>
    <row r="66" spans="1:7" ht="15" customHeight="1">
      <c r="A66" s="432" t="s">
        <v>9</v>
      </c>
      <c r="B66" s="717" t="s">
        <v>530</v>
      </c>
      <c r="C66" s="717"/>
      <c r="D66" s="427"/>
      <c r="E66" s="427"/>
      <c r="F66" s="427"/>
      <c r="G66" s="427"/>
    </row>
    <row r="67" spans="1:7" ht="15" customHeight="1">
      <c r="A67" s="432" t="s">
        <v>45</v>
      </c>
      <c r="B67" s="717" t="s">
        <v>90</v>
      </c>
      <c r="C67" s="717"/>
      <c r="D67" s="427" t="s">
        <v>91</v>
      </c>
      <c r="E67" s="427"/>
      <c r="F67" s="427"/>
      <c r="G67" s="427">
        <f>E67*F67</f>
        <v>0</v>
      </c>
    </row>
    <row r="68" spans="1:7" ht="15" customHeight="1">
      <c r="A68" s="432" t="s">
        <v>14</v>
      </c>
      <c r="B68" s="717" t="s">
        <v>92</v>
      </c>
      <c r="C68" s="717"/>
      <c r="D68" s="427" t="s">
        <v>91</v>
      </c>
      <c r="E68" s="427"/>
      <c r="F68" s="427"/>
      <c r="G68" s="427">
        <f>E68*F68</f>
        <v>0</v>
      </c>
    </row>
    <row r="69" spans="1:7" ht="15" customHeight="1">
      <c r="A69" s="432" t="s">
        <v>49</v>
      </c>
      <c r="B69" s="717" t="s">
        <v>93</v>
      </c>
      <c r="C69" s="717"/>
      <c r="D69" s="427" t="s">
        <v>91</v>
      </c>
      <c r="E69" s="427"/>
      <c r="F69" s="427"/>
      <c r="G69" s="427">
        <f>E69*F69</f>
        <v>0</v>
      </c>
    </row>
    <row r="70" spans="1:7" ht="15" customHeight="1">
      <c r="A70" s="432" t="s">
        <v>19</v>
      </c>
      <c r="B70" s="717" t="s">
        <v>94</v>
      </c>
      <c r="C70" s="717"/>
      <c r="D70" s="427"/>
      <c r="E70" s="427"/>
      <c r="F70" s="427"/>
      <c r="G70" s="427"/>
    </row>
    <row r="71" spans="1:7" ht="15" customHeight="1">
      <c r="A71" s="432"/>
      <c r="B71" s="721" t="s">
        <v>95</v>
      </c>
      <c r="C71" s="721"/>
      <c r="D71" s="433" t="s">
        <v>96</v>
      </c>
      <c r="E71" s="433"/>
      <c r="F71" s="433"/>
      <c r="G71" s="433"/>
    </row>
    <row r="72" spans="1:7" ht="15" customHeight="1">
      <c r="A72" s="432"/>
      <c r="B72" s="721" t="s">
        <v>97</v>
      </c>
      <c r="C72" s="721"/>
      <c r="D72" s="433" t="s">
        <v>91</v>
      </c>
      <c r="E72" s="433"/>
      <c r="F72" s="433"/>
      <c r="G72" s="433"/>
    </row>
    <row r="73" spans="1:7" ht="15" customHeight="1">
      <c r="A73" s="432"/>
      <c r="B73" s="721" t="s">
        <v>98</v>
      </c>
      <c r="C73" s="721"/>
      <c r="D73" s="433" t="s">
        <v>85</v>
      </c>
      <c r="E73" s="433"/>
      <c r="F73" s="433"/>
      <c r="G73" s="433">
        <f>E71*E72*F72</f>
        <v>0</v>
      </c>
    </row>
    <row r="74" spans="1:7" ht="15" customHeight="1">
      <c r="A74" s="432" t="s">
        <v>54</v>
      </c>
      <c r="B74" s="717" t="s">
        <v>99</v>
      </c>
      <c r="C74" s="717"/>
      <c r="D74" s="433"/>
      <c r="E74" s="433"/>
      <c r="F74" s="433"/>
      <c r="G74" s="433"/>
    </row>
    <row r="75" spans="1:7" ht="15" customHeight="1">
      <c r="A75" s="432"/>
      <c r="B75" s="721" t="s">
        <v>97</v>
      </c>
      <c r="C75" s="721"/>
      <c r="D75" s="433" t="s">
        <v>91</v>
      </c>
      <c r="E75" s="433"/>
      <c r="F75" s="433"/>
      <c r="G75" s="433"/>
    </row>
    <row r="76" spans="1:7" ht="15" customHeight="1">
      <c r="A76" s="432"/>
      <c r="B76" s="721" t="s">
        <v>100</v>
      </c>
      <c r="C76" s="721"/>
      <c r="D76" s="433" t="s">
        <v>101</v>
      </c>
      <c r="E76" s="433"/>
      <c r="F76" s="433"/>
      <c r="G76" s="433">
        <f>E76*F76</f>
        <v>0</v>
      </c>
    </row>
    <row r="77" spans="1:7" ht="15" customHeight="1">
      <c r="A77" s="432"/>
      <c r="B77" s="721" t="s">
        <v>102</v>
      </c>
      <c r="C77" s="721"/>
      <c r="D77" s="433" t="s">
        <v>91</v>
      </c>
      <c r="E77" s="433"/>
      <c r="F77" s="433"/>
      <c r="G77" s="433">
        <f>E75*F77</f>
        <v>0</v>
      </c>
    </row>
    <row r="78" spans="1:7" ht="14.25" customHeight="1">
      <c r="A78" s="718"/>
      <c r="B78" s="718"/>
      <c r="C78" s="718"/>
      <c r="D78" s="397"/>
      <c r="E78" s="397"/>
      <c r="F78" s="397"/>
      <c r="G78" s="397"/>
    </row>
    <row r="79" spans="1:7" ht="14.25">
      <c r="A79" s="718" t="s">
        <v>103</v>
      </c>
      <c r="B79" s="718"/>
      <c r="C79" s="718"/>
      <c r="D79" s="397"/>
      <c r="E79" s="397"/>
      <c r="F79" s="397"/>
      <c r="G79" s="397"/>
    </row>
    <row r="80" spans="1:7" ht="15" customHeight="1">
      <c r="A80" s="432"/>
      <c r="B80" s="721" t="s">
        <v>97</v>
      </c>
      <c r="C80" s="721"/>
      <c r="D80" s="433" t="s">
        <v>91</v>
      </c>
      <c r="E80" s="433">
        <v>8</v>
      </c>
      <c r="F80" s="433"/>
      <c r="G80" s="433"/>
    </row>
    <row r="81" spans="1:7" ht="15" customHeight="1">
      <c r="A81" s="432"/>
      <c r="B81" s="721" t="s">
        <v>104</v>
      </c>
      <c r="C81" s="721"/>
      <c r="D81" s="433" t="s">
        <v>101</v>
      </c>
      <c r="E81" s="289">
        <v>1.35</v>
      </c>
      <c r="F81" s="289">
        <v>1.68</v>
      </c>
      <c r="G81" s="439">
        <f>E81*F81</f>
        <v>2.2680000000000002</v>
      </c>
    </row>
    <row r="82" spans="1:7" ht="14.25" customHeight="1">
      <c r="A82" s="432"/>
      <c r="B82" s="721" t="s">
        <v>105</v>
      </c>
      <c r="C82" s="721"/>
      <c r="D82" s="433" t="s">
        <v>85</v>
      </c>
      <c r="E82" s="289"/>
      <c r="F82" s="289">
        <v>11.8</v>
      </c>
      <c r="G82" s="439">
        <f>E80*F82</f>
        <v>94.4</v>
      </c>
    </row>
    <row r="83" spans="1:7" ht="15" customHeight="1">
      <c r="A83" s="718"/>
      <c r="B83" s="718"/>
      <c r="C83" s="718"/>
      <c r="D83" s="397"/>
      <c r="E83" s="397"/>
      <c r="F83" s="397"/>
      <c r="G83" s="397"/>
    </row>
    <row r="84" spans="1:7" ht="14.25">
      <c r="A84" s="718" t="s">
        <v>106</v>
      </c>
      <c r="B84" s="718"/>
      <c r="C84" s="718"/>
      <c r="D84" s="397"/>
      <c r="E84" s="397"/>
      <c r="F84" s="397"/>
      <c r="G84" s="397"/>
    </row>
    <row r="85" spans="1:7" ht="15" customHeight="1">
      <c r="A85" s="432"/>
      <c r="B85" s="721" t="s">
        <v>97</v>
      </c>
      <c r="C85" s="721"/>
      <c r="D85" s="433" t="s">
        <v>91</v>
      </c>
      <c r="E85" s="433">
        <v>32</v>
      </c>
      <c r="F85" s="433"/>
      <c r="G85" s="433"/>
    </row>
    <row r="86" spans="1:7" ht="15" customHeight="1">
      <c r="A86" s="432"/>
      <c r="B86" s="721" t="s">
        <v>104</v>
      </c>
      <c r="C86" s="721"/>
      <c r="D86" s="433" t="s">
        <v>101</v>
      </c>
      <c r="E86" s="289">
        <v>0.5</v>
      </c>
      <c r="F86" s="289">
        <v>1.68</v>
      </c>
      <c r="G86" s="420">
        <f>E86*F86</f>
        <v>0.84</v>
      </c>
    </row>
    <row r="87" spans="1:7" ht="14.25" customHeight="1">
      <c r="A87" s="432"/>
      <c r="B87" s="721" t="s">
        <v>107</v>
      </c>
      <c r="C87" s="721"/>
      <c r="D87" s="433" t="s">
        <v>85</v>
      </c>
      <c r="E87" s="289"/>
      <c r="F87" s="289">
        <v>0.6</v>
      </c>
      <c r="G87" s="420">
        <f>E85*F87</f>
        <v>19.2</v>
      </c>
    </row>
    <row r="88" spans="1:7" ht="14.25" customHeight="1">
      <c r="A88" s="398"/>
      <c r="B88" s="399"/>
      <c r="C88" s="399"/>
      <c r="D88" s="400"/>
      <c r="E88" s="400"/>
      <c r="F88" s="400"/>
      <c r="G88" s="400"/>
    </row>
    <row r="89" spans="1:7" ht="15.75">
      <c r="A89" s="718" t="s">
        <v>208</v>
      </c>
      <c r="B89" s="718"/>
      <c r="C89" s="718"/>
      <c r="D89" s="398"/>
      <c r="E89" s="398"/>
      <c r="F89" s="400"/>
      <c r="G89" s="400"/>
    </row>
    <row r="90" spans="1:7" ht="18.75" customHeight="1">
      <c r="A90" s="430"/>
      <c r="B90" s="719"/>
      <c r="C90" s="719"/>
      <c r="D90" s="427"/>
      <c r="E90" s="427"/>
      <c r="F90" s="427"/>
      <c r="G90" s="427"/>
    </row>
    <row r="91" spans="1:7" ht="14.25">
      <c r="A91" s="430"/>
      <c r="B91" s="719"/>
      <c r="C91" s="719"/>
      <c r="D91" s="427"/>
      <c r="E91" s="427"/>
      <c r="F91" s="427"/>
      <c r="G91" s="427"/>
    </row>
    <row r="92" spans="1:7" ht="14.25">
      <c r="A92" s="260"/>
      <c r="B92" s="631" t="s">
        <v>108</v>
      </c>
      <c r="C92" s="632"/>
      <c r="D92" s="260"/>
      <c r="E92" s="261"/>
      <c r="F92" s="260"/>
      <c r="G92" s="263">
        <f>SUM(G67:G91)-1</f>
        <v>115.70800000000001</v>
      </c>
    </row>
    <row r="93" spans="1:7" ht="12.75">
      <c r="A93" s="401"/>
      <c r="B93" s="401"/>
      <c r="C93" s="401"/>
      <c r="D93" s="401"/>
      <c r="E93" s="401"/>
      <c r="F93" s="401"/>
      <c r="G93" s="401"/>
    </row>
    <row r="94" ht="15" thickBot="1">
      <c r="A94" s="386" t="s">
        <v>110</v>
      </c>
    </row>
    <row r="95" spans="1:7" ht="26.25" customHeight="1">
      <c r="A95" s="394" t="s">
        <v>37</v>
      </c>
      <c r="B95" s="404" t="s">
        <v>38</v>
      </c>
      <c r="C95" s="405"/>
      <c r="D95" s="387" t="s">
        <v>39</v>
      </c>
      <c r="E95" s="388" t="s">
        <v>207</v>
      </c>
      <c r="F95" s="388" t="s">
        <v>58</v>
      </c>
      <c r="G95" s="388" t="s">
        <v>59</v>
      </c>
    </row>
    <row r="96" spans="1:7" ht="15" customHeight="1">
      <c r="A96" s="427" t="s">
        <v>9</v>
      </c>
      <c r="B96" s="717" t="s">
        <v>111</v>
      </c>
      <c r="C96" s="717"/>
      <c r="D96" s="433" t="s">
        <v>91</v>
      </c>
      <c r="E96" s="433"/>
      <c r="F96" s="433"/>
      <c r="G96" s="427">
        <f>E96*F96</f>
        <v>0</v>
      </c>
    </row>
    <row r="97" spans="1:7" ht="15" customHeight="1">
      <c r="A97" s="427" t="s">
        <v>45</v>
      </c>
      <c r="B97" s="717" t="s">
        <v>112</v>
      </c>
      <c r="C97" s="717"/>
      <c r="D97" s="433" t="s">
        <v>91</v>
      </c>
      <c r="E97" s="433"/>
      <c r="F97" s="433"/>
      <c r="G97" s="427">
        <f>E97*F97</f>
        <v>0</v>
      </c>
    </row>
    <row r="98" spans="1:7" ht="15" customHeight="1">
      <c r="A98" s="427" t="s">
        <v>14</v>
      </c>
      <c r="B98" s="717" t="s">
        <v>113</v>
      </c>
      <c r="C98" s="717"/>
      <c r="D98" s="433" t="s">
        <v>91</v>
      </c>
      <c r="E98" s="433"/>
      <c r="F98" s="433"/>
      <c r="G98" s="427">
        <f>E98*F98</f>
        <v>0</v>
      </c>
    </row>
    <row r="99" spans="1:7" ht="15" customHeight="1">
      <c r="A99" s="427" t="s">
        <v>49</v>
      </c>
      <c r="B99" s="717" t="s">
        <v>94</v>
      </c>
      <c r="C99" s="717"/>
      <c r="D99" s="433"/>
      <c r="E99" s="433"/>
      <c r="F99" s="433"/>
      <c r="G99" s="433"/>
    </row>
    <row r="100" spans="1:7" ht="15" customHeight="1">
      <c r="A100" s="427"/>
      <c r="B100" s="721" t="s">
        <v>95</v>
      </c>
      <c r="C100" s="721"/>
      <c r="D100" s="433" t="s">
        <v>96</v>
      </c>
      <c r="E100" s="433"/>
      <c r="F100" s="433"/>
      <c r="G100" s="433"/>
    </row>
    <row r="101" spans="1:7" ht="15" customHeight="1">
      <c r="A101" s="427"/>
      <c r="B101" s="721" t="s">
        <v>97</v>
      </c>
      <c r="C101" s="721"/>
      <c r="D101" s="433" t="s">
        <v>91</v>
      </c>
      <c r="E101" s="433"/>
      <c r="F101" s="433"/>
      <c r="G101" s="433"/>
    </row>
    <row r="102" spans="1:7" ht="15" customHeight="1">
      <c r="A102" s="427"/>
      <c r="B102" s="721" t="s">
        <v>114</v>
      </c>
      <c r="C102" s="721"/>
      <c r="D102" s="433" t="s">
        <v>85</v>
      </c>
      <c r="E102" s="433"/>
      <c r="F102" s="433"/>
      <c r="G102" s="433">
        <f>E100*E101*F102</f>
        <v>0</v>
      </c>
    </row>
    <row r="103" spans="1:7" ht="15" customHeight="1">
      <c r="A103" s="427" t="s">
        <v>19</v>
      </c>
      <c r="B103" s="720" t="s">
        <v>115</v>
      </c>
      <c r="C103" s="720"/>
      <c r="D103" s="433"/>
      <c r="E103" s="433"/>
      <c r="F103" s="433"/>
      <c r="G103" s="433"/>
    </row>
    <row r="104" spans="1:7" ht="15" customHeight="1">
      <c r="A104" s="427"/>
      <c r="B104" s="721" t="s">
        <v>116</v>
      </c>
      <c r="C104" s="721"/>
      <c r="D104" s="433" t="s">
        <v>117</v>
      </c>
      <c r="E104" s="433"/>
      <c r="F104" s="433"/>
      <c r="G104" s="433"/>
    </row>
    <row r="105" spans="1:7" ht="15" customHeight="1">
      <c r="A105" s="427"/>
      <c r="B105" s="721" t="s">
        <v>118</v>
      </c>
      <c r="C105" s="721"/>
      <c r="D105" s="433" t="s">
        <v>85</v>
      </c>
      <c r="E105" s="433"/>
      <c r="F105" s="433"/>
      <c r="G105" s="433">
        <f>E104*E105*F105</f>
        <v>0</v>
      </c>
    </row>
    <row r="106" spans="1:7" ht="15" customHeight="1">
      <c r="A106" s="427" t="s">
        <v>54</v>
      </c>
      <c r="B106" s="720" t="s">
        <v>119</v>
      </c>
      <c r="C106" s="720"/>
      <c r="D106" s="433"/>
      <c r="E106" s="433"/>
      <c r="F106" s="433"/>
      <c r="G106" s="433"/>
    </row>
    <row r="107" spans="1:7" ht="15" customHeight="1">
      <c r="A107" s="427"/>
      <c r="B107" s="721" t="s">
        <v>120</v>
      </c>
      <c r="C107" s="721"/>
      <c r="D107" s="433" t="s">
        <v>117</v>
      </c>
      <c r="E107" s="433"/>
      <c r="F107" s="433"/>
      <c r="G107" s="433"/>
    </row>
    <row r="108" spans="1:7" ht="15" customHeight="1">
      <c r="A108" s="427"/>
      <c r="B108" s="721" t="s">
        <v>121</v>
      </c>
      <c r="C108" s="721"/>
      <c r="D108" s="433" t="s">
        <v>85</v>
      </c>
      <c r="E108" s="433"/>
      <c r="F108" s="433"/>
      <c r="G108" s="433">
        <f>E107*E108*F108</f>
        <v>0</v>
      </c>
    </row>
    <row r="109" spans="1:7" ht="15" customHeight="1">
      <c r="A109" s="427" t="s">
        <v>22</v>
      </c>
      <c r="B109" s="720" t="s">
        <v>99</v>
      </c>
      <c r="C109" s="720"/>
      <c r="D109" s="433"/>
      <c r="E109" s="433"/>
      <c r="F109" s="433"/>
      <c r="G109" s="433"/>
    </row>
    <row r="110" spans="1:7" ht="15" customHeight="1">
      <c r="A110" s="427"/>
      <c r="B110" s="721" t="s">
        <v>97</v>
      </c>
      <c r="C110" s="721"/>
      <c r="D110" s="433" t="s">
        <v>91</v>
      </c>
      <c r="E110" s="433"/>
      <c r="F110" s="433"/>
      <c r="G110" s="433"/>
    </row>
    <row r="111" spans="1:7" ht="15" customHeight="1">
      <c r="A111" s="427"/>
      <c r="B111" s="721" t="s">
        <v>102</v>
      </c>
      <c r="C111" s="721"/>
      <c r="D111" s="433" t="s">
        <v>85</v>
      </c>
      <c r="E111" s="433"/>
      <c r="F111" s="433"/>
      <c r="G111" s="433">
        <f>E110*E111*F111</f>
        <v>0</v>
      </c>
    </row>
    <row r="112" spans="1:7" ht="14.25" customHeight="1">
      <c r="A112" s="427" t="s">
        <v>72</v>
      </c>
      <c r="B112" s="717" t="s">
        <v>122</v>
      </c>
      <c r="C112" s="717"/>
      <c r="D112" s="433" t="s">
        <v>91</v>
      </c>
      <c r="E112" s="433"/>
      <c r="F112" s="433"/>
      <c r="G112" s="433">
        <f>E112*F112</f>
        <v>0</v>
      </c>
    </row>
    <row r="113" spans="1:7" ht="14.25" customHeight="1">
      <c r="A113" s="260"/>
      <c r="B113" s="631" t="s">
        <v>123</v>
      </c>
      <c r="C113" s="632"/>
      <c r="D113" s="260"/>
      <c r="E113" s="261"/>
      <c r="F113" s="260"/>
      <c r="G113" s="263">
        <f>SUM(G94:G112)</f>
        <v>0</v>
      </c>
    </row>
    <row r="114" ht="14.25">
      <c r="A114" s="377"/>
    </row>
    <row r="115" ht="14.25">
      <c r="A115" s="386" t="s">
        <v>124</v>
      </c>
    </row>
    <row r="116" ht="15" thickBot="1">
      <c r="A116" s="386"/>
    </row>
    <row r="117" spans="1:9" ht="29.25" customHeight="1">
      <c r="A117" s="394" t="s">
        <v>37</v>
      </c>
      <c r="B117" s="404" t="s">
        <v>38</v>
      </c>
      <c r="C117" s="405"/>
      <c r="D117" s="387" t="s">
        <v>39</v>
      </c>
      <c r="E117" s="434" t="s">
        <v>207</v>
      </c>
      <c r="F117" s="388" t="s">
        <v>58</v>
      </c>
      <c r="G117" s="388" t="s">
        <v>59</v>
      </c>
      <c r="H117" s="402"/>
      <c r="I117" s="403"/>
    </row>
    <row r="118" spans="1:9" ht="15" customHeight="1">
      <c r="A118" s="427" t="s">
        <v>9</v>
      </c>
      <c r="B118" s="717" t="s">
        <v>125</v>
      </c>
      <c r="C118" s="717"/>
      <c r="D118" s="433" t="s">
        <v>96</v>
      </c>
      <c r="E118" s="433"/>
      <c r="F118" s="433"/>
      <c r="G118" s="433"/>
      <c r="H118" s="400"/>
      <c r="I118" s="403"/>
    </row>
    <row r="119" spans="1:9" ht="15" customHeight="1">
      <c r="A119" s="427" t="s">
        <v>45</v>
      </c>
      <c r="B119" s="717" t="s">
        <v>126</v>
      </c>
      <c r="C119" s="717"/>
      <c r="D119" s="433" t="s">
        <v>127</v>
      </c>
      <c r="E119" s="433"/>
      <c r="F119" s="433"/>
      <c r="G119" s="433"/>
      <c r="H119" s="400"/>
      <c r="I119" s="403"/>
    </row>
    <row r="120" spans="1:9" ht="26.25" customHeight="1">
      <c r="A120" s="427" t="s">
        <v>14</v>
      </c>
      <c r="B120" s="717" t="s">
        <v>128</v>
      </c>
      <c r="C120" s="717"/>
      <c r="D120" s="433" t="s">
        <v>129</v>
      </c>
      <c r="E120" s="433"/>
      <c r="F120" s="433"/>
      <c r="G120" s="433">
        <f>E118*E120*F120</f>
        <v>0</v>
      </c>
      <c r="H120" s="400"/>
      <c r="I120" s="403"/>
    </row>
    <row r="121" spans="1:9" ht="14.25" customHeight="1">
      <c r="A121" s="427" t="s">
        <v>49</v>
      </c>
      <c r="B121" s="717" t="s">
        <v>130</v>
      </c>
      <c r="C121" s="717"/>
      <c r="D121" s="433" t="s">
        <v>131</v>
      </c>
      <c r="E121" s="433"/>
      <c r="F121" s="433"/>
      <c r="G121" s="433"/>
      <c r="H121" s="400"/>
      <c r="I121" s="403"/>
    </row>
    <row r="122" spans="1:9" ht="15" customHeight="1">
      <c r="A122" s="427"/>
      <c r="B122" s="717" t="s">
        <v>132</v>
      </c>
      <c r="C122" s="717"/>
      <c r="D122" s="433" t="s">
        <v>131</v>
      </c>
      <c r="E122" s="433"/>
      <c r="F122" s="433"/>
      <c r="G122" s="433">
        <f>E122*F122</f>
        <v>0</v>
      </c>
      <c r="H122" s="400"/>
      <c r="I122" s="403"/>
    </row>
    <row r="123" spans="1:9" ht="15">
      <c r="A123" s="427"/>
      <c r="B123" s="717" t="s">
        <v>133</v>
      </c>
      <c r="C123" s="717"/>
      <c r="D123" s="433" t="s">
        <v>131</v>
      </c>
      <c r="E123" s="433"/>
      <c r="F123" s="433"/>
      <c r="G123" s="433">
        <f>E123*F123</f>
        <v>0</v>
      </c>
      <c r="H123" s="400"/>
      <c r="I123" s="403"/>
    </row>
    <row r="124" spans="1:9" ht="15">
      <c r="A124" s="427"/>
      <c r="B124" s="717" t="s">
        <v>134</v>
      </c>
      <c r="C124" s="717"/>
      <c r="D124" s="433" t="s">
        <v>131</v>
      </c>
      <c r="E124" s="433"/>
      <c r="F124" s="433"/>
      <c r="G124" s="433">
        <f>E124*F124</f>
        <v>0</v>
      </c>
      <c r="H124" s="400"/>
      <c r="I124" s="403"/>
    </row>
    <row r="125" spans="1:9" ht="15">
      <c r="A125" s="260"/>
      <c r="B125" s="631" t="s">
        <v>135</v>
      </c>
      <c r="C125" s="632"/>
      <c r="D125" s="260"/>
      <c r="E125" s="261"/>
      <c r="F125" s="260"/>
      <c r="G125" s="263">
        <f>SUM(G118:G124)</f>
        <v>0</v>
      </c>
      <c r="H125" s="400"/>
      <c r="I125" s="403"/>
    </row>
    <row r="126" spans="1:9" ht="12.75">
      <c r="A126" s="401"/>
      <c r="B126" s="401"/>
      <c r="C126" s="401"/>
      <c r="D126" s="401"/>
      <c r="E126" s="401"/>
      <c r="F126" s="401"/>
      <c r="G126" s="401"/>
      <c r="H126" s="401"/>
      <c r="I126" s="401"/>
    </row>
    <row r="127" ht="15" thickBot="1">
      <c r="A127" s="386" t="s">
        <v>136</v>
      </c>
    </row>
    <row r="128" spans="1:7" ht="28.5" customHeight="1">
      <c r="A128" s="394" t="s">
        <v>37</v>
      </c>
      <c r="B128" s="404" t="s">
        <v>38</v>
      </c>
      <c r="C128" s="405"/>
      <c r="D128" s="388" t="s">
        <v>39</v>
      </c>
      <c r="E128" s="388" t="s">
        <v>207</v>
      </c>
      <c r="F128" s="388" t="s">
        <v>58</v>
      </c>
      <c r="G128" s="388" t="s">
        <v>59</v>
      </c>
    </row>
    <row r="129" spans="1:7" ht="14.25" customHeight="1">
      <c r="A129" s="427" t="s">
        <v>9</v>
      </c>
      <c r="B129" s="717" t="s">
        <v>137</v>
      </c>
      <c r="C129" s="717"/>
      <c r="D129" s="427" t="s">
        <v>138</v>
      </c>
      <c r="E129" s="433"/>
      <c r="F129" s="433"/>
      <c r="G129" s="433"/>
    </row>
    <row r="130" spans="1:7" ht="14.25" customHeight="1">
      <c r="A130" s="427" t="s">
        <v>45</v>
      </c>
      <c r="B130" s="717" t="s">
        <v>139</v>
      </c>
      <c r="C130" s="717"/>
      <c r="D130" s="729"/>
      <c r="E130" s="729"/>
      <c r="F130" s="729"/>
      <c r="G130" s="729"/>
    </row>
    <row r="131" spans="1:7" ht="14.25" customHeight="1">
      <c r="A131" s="427" t="s">
        <v>14</v>
      </c>
      <c r="B131" s="717" t="s">
        <v>140</v>
      </c>
      <c r="C131" s="717"/>
      <c r="D131" s="729"/>
      <c r="E131" s="729"/>
      <c r="F131" s="729"/>
      <c r="G131" s="729"/>
    </row>
    <row r="132" spans="1:7" ht="15" customHeight="1">
      <c r="A132" s="427" t="s">
        <v>49</v>
      </c>
      <c r="B132" s="717" t="s">
        <v>141</v>
      </c>
      <c r="C132" s="717"/>
      <c r="D132" s="427" t="s">
        <v>138</v>
      </c>
      <c r="E132" s="433"/>
      <c r="F132" s="433"/>
      <c r="G132" s="433">
        <f>E132*F132*E129</f>
        <v>0</v>
      </c>
    </row>
    <row r="133" spans="1:7" ht="15" customHeight="1">
      <c r="A133" s="427" t="s">
        <v>19</v>
      </c>
      <c r="B133" s="717" t="s">
        <v>142</v>
      </c>
      <c r="C133" s="717"/>
      <c r="D133" s="427" t="s">
        <v>138</v>
      </c>
      <c r="E133" s="433"/>
      <c r="F133" s="433"/>
      <c r="G133" s="433">
        <f>E133*F133*E129</f>
        <v>0</v>
      </c>
    </row>
    <row r="134" spans="1:7" ht="15" customHeight="1">
      <c r="A134" s="427" t="s">
        <v>54</v>
      </c>
      <c r="B134" s="717" t="s">
        <v>143</v>
      </c>
      <c r="C134" s="717"/>
      <c r="D134" s="427" t="s">
        <v>85</v>
      </c>
      <c r="E134" s="433"/>
      <c r="F134" s="433"/>
      <c r="G134" s="433">
        <f>E129*F134</f>
        <v>0</v>
      </c>
    </row>
    <row r="135" spans="1:7" ht="15" customHeight="1">
      <c r="A135" s="427" t="s">
        <v>22</v>
      </c>
      <c r="B135" s="717" t="s">
        <v>144</v>
      </c>
      <c r="C135" s="717"/>
      <c r="D135" s="427" t="s">
        <v>85</v>
      </c>
      <c r="E135" s="433"/>
      <c r="F135" s="433"/>
      <c r="G135" s="433">
        <f>E129*F135</f>
        <v>0</v>
      </c>
    </row>
    <row r="136" spans="1:7" ht="15" customHeight="1">
      <c r="A136" s="427" t="s">
        <v>72</v>
      </c>
      <c r="B136" s="717" t="s">
        <v>145</v>
      </c>
      <c r="C136" s="717"/>
      <c r="D136" s="427" t="s">
        <v>85</v>
      </c>
      <c r="E136" s="433"/>
      <c r="F136" s="433"/>
      <c r="G136" s="433">
        <f>E129*F136</f>
        <v>0</v>
      </c>
    </row>
    <row r="137" spans="1:7" ht="15" customHeight="1">
      <c r="A137" s="427" t="s">
        <v>26</v>
      </c>
      <c r="B137" s="717" t="s">
        <v>146</v>
      </c>
      <c r="C137" s="717"/>
      <c r="D137" s="427" t="s">
        <v>85</v>
      </c>
      <c r="E137" s="433"/>
      <c r="F137" s="433"/>
      <c r="G137" s="433">
        <f>F137</f>
        <v>0</v>
      </c>
    </row>
    <row r="138" spans="1:7" ht="15" customHeight="1">
      <c r="A138" s="260"/>
      <c r="B138" s="631" t="s">
        <v>147</v>
      </c>
      <c r="C138" s="632"/>
      <c r="D138" s="260"/>
      <c r="E138" s="261"/>
      <c r="F138" s="260"/>
      <c r="G138" s="263">
        <f>SUM(G132:G137)</f>
        <v>0</v>
      </c>
    </row>
    <row r="139" ht="14.25">
      <c r="A139" s="377"/>
    </row>
    <row r="140" ht="14.25">
      <c r="A140" s="377"/>
    </row>
    <row r="141" ht="14.25">
      <c r="A141" s="386" t="s">
        <v>148</v>
      </c>
    </row>
    <row r="142" ht="15" thickBot="1">
      <c r="A142" s="386"/>
    </row>
    <row r="143" spans="1:7" ht="28.5" customHeight="1">
      <c r="A143" s="394" t="s">
        <v>37</v>
      </c>
      <c r="B143" s="730" t="s">
        <v>38</v>
      </c>
      <c r="C143" s="731"/>
      <c r="D143" s="387" t="s">
        <v>39</v>
      </c>
      <c r="E143" s="388" t="s">
        <v>207</v>
      </c>
      <c r="F143" s="388" t="s">
        <v>58</v>
      </c>
      <c r="G143" s="388" t="s">
        <v>59</v>
      </c>
    </row>
    <row r="144" spans="1:7" ht="14.25" customHeight="1">
      <c r="A144" s="427" t="s">
        <v>9</v>
      </c>
      <c r="B144" s="717" t="s">
        <v>149</v>
      </c>
      <c r="C144" s="717"/>
      <c r="D144" s="427" t="s">
        <v>85</v>
      </c>
      <c r="E144" s="433"/>
      <c r="F144" s="433"/>
      <c r="G144" s="433">
        <f aca="true" t="shared" si="2" ref="G144:G152">E144*F144</f>
        <v>0</v>
      </c>
    </row>
    <row r="145" spans="1:7" ht="14.25" customHeight="1">
      <c r="A145" s="427" t="s">
        <v>45</v>
      </c>
      <c r="B145" s="717" t="s">
        <v>150</v>
      </c>
      <c r="C145" s="717"/>
      <c r="D145" s="427" t="s">
        <v>85</v>
      </c>
      <c r="E145" s="433"/>
      <c r="F145" s="433"/>
      <c r="G145" s="433">
        <f t="shared" si="2"/>
        <v>0</v>
      </c>
    </row>
    <row r="146" spans="1:7" ht="15" customHeight="1">
      <c r="A146" s="427" t="s">
        <v>14</v>
      </c>
      <c r="B146" s="717" t="s">
        <v>151</v>
      </c>
      <c r="C146" s="717"/>
      <c r="D146" s="427"/>
      <c r="E146" s="438">
        <f>2/22</f>
        <v>0.09090909090909091</v>
      </c>
      <c r="F146" s="433">
        <v>271.78</v>
      </c>
      <c r="G146" s="439">
        <f t="shared" si="2"/>
        <v>24.707272727272727</v>
      </c>
    </row>
    <row r="147" spans="1:7" ht="14.25">
      <c r="A147" s="427" t="s">
        <v>49</v>
      </c>
      <c r="B147" s="717" t="s">
        <v>152</v>
      </c>
      <c r="C147" s="717"/>
      <c r="D147" s="427" t="s">
        <v>96</v>
      </c>
      <c r="E147" s="433"/>
      <c r="F147" s="433"/>
      <c r="G147" s="433">
        <f t="shared" si="2"/>
        <v>0</v>
      </c>
    </row>
    <row r="148" spans="1:7" ht="15" customHeight="1">
      <c r="A148" s="427" t="s">
        <v>19</v>
      </c>
      <c r="B148" s="717" t="s">
        <v>153</v>
      </c>
      <c r="C148" s="717"/>
      <c r="D148" s="427"/>
      <c r="E148" s="433"/>
      <c r="F148" s="433"/>
      <c r="G148" s="433">
        <f t="shared" si="2"/>
        <v>0</v>
      </c>
    </row>
    <row r="149" spans="1:7" ht="15" customHeight="1">
      <c r="A149" s="427" t="s">
        <v>54</v>
      </c>
      <c r="B149" s="717" t="s">
        <v>154</v>
      </c>
      <c r="C149" s="717"/>
      <c r="D149" s="427"/>
      <c r="E149" s="433"/>
      <c r="F149" s="433"/>
      <c r="G149" s="433">
        <f t="shared" si="2"/>
        <v>0</v>
      </c>
    </row>
    <row r="150" spans="1:7" ht="15" customHeight="1">
      <c r="A150" s="427" t="s">
        <v>22</v>
      </c>
      <c r="B150" s="717" t="s">
        <v>155</v>
      </c>
      <c r="C150" s="717"/>
      <c r="D150" s="427"/>
      <c r="E150" s="433"/>
      <c r="F150" s="433"/>
      <c r="G150" s="433">
        <f t="shared" si="2"/>
        <v>0</v>
      </c>
    </row>
    <row r="151" spans="1:7" ht="15" customHeight="1">
      <c r="A151" s="427" t="s">
        <v>72</v>
      </c>
      <c r="B151" s="717" t="s">
        <v>156</v>
      </c>
      <c r="C151" s="717"/>
      <c r="D151" s="427"/>
      <c r="E151" s="433"/>
      <c r="F151" s="433"/>
      <c r="G151" s="433">
        <f t="shared" si="2"/>
        <v>0</v>
      </c>
    </row>
    <row r="152" spans="1:7" ht="15" customHeight="1">
      <c r="A152" s="427" t="s">
        <v>26</v>
      </c>
      <c r="B152" s="717" t="s">
        <v>157</v>
      </c>
      <c r="C152" s="717"/>
      <c r="D152" s="427" t="s">
        <v>85</v>
      </c>
      <c r="E152" s="433"/>
      <c r="F152" s="433"/>
      <c r="G152" s="433">
        <f t="shared" si="2"/>
        <v>0</v>
      </c>
    </row>
    <row r="153" spans="1:7" ht="15" customHeight="1">
      <c r="A153" s="260"/>
      <c r="B153" s="631" t="s">
        <v>158</v>
      </c>
      <c r="C153" s="632"/>
      <c r="D153" s="260"/>
      <c r="E153" s="261"/>
      <c r="F153" s="260"/>
      <c r="G153" s="263">
        <f>SUM(G144:G152)</f>
        <v>24.707272727272727</v>
      </c>
    </row>
    <row r="154" ht="14.25">
      <c r="A154" s="377"/>
    </row>
    <row r="155" ht="14.25">
      <c r="A155" s="386" t="s">
        <v>159</v>
      </c>
    </row>
    <row r="156" ht="15" thickBot="1">
      <c r="A156" s="386"/>
    </row>
    <row r="157" spans="1:7" ht="28.5" customHeight="1">
      <c r="A157" s="722" t="s">
        <v>37</v>
      </c>
      <c r="B157" s="730" t="s">
        <v>38</v>
      </c>
      <c r="C157" s="731"/>
      <c r="D157" s="387" t="s">
        <v>39</v>
      </c>
      <c r="E157" s="388" t="s">
        <v>207</v>
      </c>
      <c r="F157" s="388" t="s">
        <v>58</v>
      </c>
      <c r="G157" s="388" t="s">
        <v>59</v>
      </c>
    </row>
    <row r="158" spans="1:7" ht="15" customHeight="1">
      <c r="A158" s="723"/>
      <c r="B158" s="732"/>
      <c r="C158" s="733"/>
      <c r="D158" s="435"/>
      <c r="E158" s="436"/>
      <c r="F158" s="436"/>
      <c r="G158" s="436"/>
    </row>
    <row r="159" spans="1:7" ht="15" customHeight="1">
      <c r="A159" s="427" t="s">
        <v>9</v>
      </c>
      <c r="B159" s="729" t="s">
        <v>160</v>
      </c>
      <c r="C159" s="729"/>
      <c r="D159" s="427" t="s">
        <v>85</v>
      </c>
      <c r="E159" s="427"/>
      <c r="F159" s="427"/>
      <c r="G159" s="427">
        <f>E159*F159</f>
        <v>0</v>
      </c>
    </row>
    <row r="160" spans="1:7" ht="15" customHeight="1">
      <c r="A160" s="427"/>
      <c r="B160" s="736"/>
      <c r="C160" s="736"/>
      <c r="D160" s="427"/>
      <c r="E160" s="427"/>
      <c r="F160" s="427"/>
      <c r="G160" s="427"/>
    </row>
    <row r="161" spans="1:7" ht="15" customHeight="1">
      <c r="A161" s="260"/>
      <c r="B161" s="631" t="s">
        <v>161</v>
      </c>
      <c r="C161" s="632"/>
      <c r="D161" s="260"/>
      <c r="E161" s="260"/>
      <c r="F161" s="260"/>
      <c r="G161" s="260">
        <f>SUM(G159:G160)</f>
        <v>0</v>
      </c>
    </row>
    <row r="162" ht="15" customHeight="1">
      <c r="A162" s="377"/>
    </row>
    <row r="163" ht="14.25">
      <c r="A163" s="386" t="s">
        <v>162</v>
      </c>
    </row>
    <row r="164" ht="15" thickBot="1">
      <c r="A164" s="386"/>
    </row>
    <row r="165" spans="1:7" ht="28.5" customHeight="1">
      <c r="A165" s="394" t="s">
        <v>37</v>
      </c>
      <c r="B165" s="730" t="s">
        <v>38</v>
      </c>
      <c r="C165" s="731"/>
      <c r="D165" s="387" t="s">
        <v>39</v>
      </c>
      <c r="E165" s="388" t="s">
        <v>207</v>
      </c>
      <c r="F165" s="388" t="s">
        <v>58</v>
      </c>
      <c r="G165" s="388" t="s">
        <v>59</v>
      </c>
    </row>
    <row r="166" spans="1:7" ht="14.25" customHeight="1">
      <c r="A166" s="427" t="s">
        <v>9</v>
      </c>
      <c r="B166" s="717" t="s">
        <v>163</v>
      </c>
      <c r="C166" s="717"/>
      <c r="D166" s="427"/>
      <c r="E166" s="427"/>
      <c r="F166" s="427"/>
      <c r="G166" s="427"/>
    </row>
    <row r="167" spans="1:7" ht="14.25" customHeight="1">
      <c r="A167" s="427"/>
      <c r="B167" s="717" t="s">
        <v>164</v>
      </c>
      <c r="C167" s="717"/>
      <c r="D167" s="427" t="s">
        <v>165</v>
      </c>
      <c r="E167" s="416" t="s">
        <v>373</v>
      </c>
      <c r="F167" s="416">
        <v>77</v>
      </c>
      <c r="G167" s="416">
        <f>2*F167</f>
        <v>154</v>
      </c>
    </row>
    <row r="168" spans="1:7" ht="14.25" customHeight="1">
      <c r="A168" s="427"/>
      <c r="B168" s="717" t="s">
        <v>167</v>
      </c>
      <c r="C168" s="717"/>
      <c r="D168" s="427" t="s">
        <v>165</v>
      </c>
      <c r="E168" s="416"/>
      <c r="F168" s="416"/>
      <c r="G168" s="416">
        <f>E168*F168</f>
        <v>0</v>
      </c>
    </row>
    <row r="169" spans="1:7" ht="14.25" customHeight="1">
      <c r="A169" s="427"/>
      <c r="B169" s="717" t="s">
        <v>168</v>
      </c>
      <c r="C169" s="717"/>
      <c r="D169" s="427" t="s">
        <v>165</v>
      </c>
      <c r="E169" s="416" t="s">
        <v>575</v>
      </c>
      <c r="F169" s="416">
        <v>49</v>
      </c>
      <c r="G169" s="420">
        <f>40/60*F169</f>
        <v>32.666666666666664</v>
      </c>
    </row>
    <row r="170" spans="1:7" ht="29.25" customHeight="1">
      <c r="A170" s="427" t="s">
        <v>45</v>
      </c>
      <c r="B170" s="717" t="s">
        <v>170</v>
      </c>
      <c r="C170" s="717"/>
      <c r="D170" s="427" t="s">
        <v>165</v>
      </c>
      <c r="E170" s="433"/>
      <c r="F170" s="433"/>
      <c r="G170" s="433">
        <f aca="true" t="shared" si="3" ref="G170:G176">E170*F170</f>
        <v>0</v>
      </c>
    </row>
    <row r="171" spans="1:7" ht="15" customHeight="1">
      <c r="A171" s="427" t="s">
        <v>14</v>
      </c>
      <c r="B171" s="717" t="s">
        <v>171</v>
      </c>
      <c r="C171" s="717"/>
      <c r="D171" s="427" t="s">
        <v>85</v>
      </c>
      <c r="E171" s="433"/>
      <c r="F171" s="433"/>
      <c r="G171" s="433">
        <f t="shared" si="3"/>
        <v>0</v>
      </c>
    </row>
    <row r="172" spans="1:7" ht="15" customHeight="1">
      <c r="A172" s="427" t="s">
        <v>49</v>
      </c>
      <c r="B172" s="717" t="s">
        <v>172</v>
      </c>
      <c r="C172" s="717"/>
      <c r="D172" s="427" t="s">
        <v>91</v>
      </c>
      <c r="E172" s="433"/>
      <c r="F172" s="433"/>
      <c r="G172" s="433">
        <f t="shared" si="3"/>
        <v>0</v>
      </c>
    </row>
    <row r="173" spans="1:7" ht="15" customHeight="1">
      <c r="A173" s="427" t="s">
        <v>19</v>
      </c>
      <c r="B173" s="717" t="s">
        <v>174</v>
      </c>
      <c r="C173" s="717"/>
      <c r="D173" s="427" t="s">
        <v>43</v>
      </c>
      <c r="E173" s="433"/>
      <c r="F173" s="433"/>
      <c r="G173" s="433">
        <f t="shared" si="3"/>
        <v>0</v>
      </c>
    </row>
    <row r="174" spans="1:7" ht="14.25" customHeight="1">
      <c r="A174" s="427" t="s">
        <v>54</v>
      </c>
      <c r="B174" s="717" t="s">
        <v>175</v>
      </c>
      <c r="C174" s="717"/>
      <c r="D174" s="427" t="s">
        <v>43</v>
      </c>
      <c r="E174" s="433"/>
      <c r="F174" s="433"/>
      <c r="G174" s="433">
        <f t="shared" si="3"/>
        <v>0</v>
      </c>
    </row>
    <row r="175" spans="1:7" ht="14.25" customHeight="1">
      <c r="A175" s="427" t="s">
        <v>22</v>
      </c>
      <c r="B175" s="717" t="s">
        <v>176</v>
      </c>
      <c r="C175" s="717"/>
      <c r="D175" s="427" t="s">
        <v>43</v>
      </c>
      <c r="E175" s="433"/>
      <c r="F175" s="433"/>
      <c r="G175" s="433">
        <f t="shared" si="3"/>
        <v>0</v>
      </c>
    </row>
    <row r="176" spans="1:7" ht="15" customHeight="1">
      <c r="A176" s="427" t="s">
        <v>72</v>
      </c>
      <c r="B176" s="717" t="s">
        <v>209</v>
      </c>
      <c r="C176" s="717"/>
      <c r="D176" s="427" t="s">
        <v>85</v>
      </c>
      <c r="E176" s="433"/>
      <c r="F176" s="433"/>
      <c r="G176" s="433">
        <f t="shared" si="3"/>
        <v>0</v>
      </c>
    </row>
    <row r="177" spans="1:7" ht="15" customHeight="1">
      <c r="A177" s="260"/>
      <c r="B177" s="631" t="s">
        <v>177</v>
      </c>
      <c r="C177" s="632"/>
      <c r="D177" s="260"/>
      <c r="E177" s="260"/>
      <c r="F177" s="260"/>
      <c r="G177" s="263">
        <f>SUM(G167:G176)</f>
        <v>186.66666666666666</v>
      </c>
    </row>
    <row r="178" ht="13.5" customHeight="1">
      <c r="A178" s="377"/>
    </row>
    <row r="179" ht="14.25">
      <c r="A179" s="386" t="s">
        <v>178</v>
      </c>
    </row>
    <row r="180" ht="15" thickBot="1">
      <c r="A180" s="386"/>
    </row>
    <row r="181" spans="1:7" ht="28.5" customHeight="1">
      <c r="A181" s="394" t="s">
        <v>37</v>
      </c>
      <c r="B181" s="730" t="s">
        <v>38</v>
      </c>
      <c r="C181" s="731"/>
      <c r="D181" s="387" t="s">
        <v>39</v>
      </c>
      <c r="E181" s="388" t="s">
        <v>207</v>
      </c>
      <c r="F181" s="388" t="s">
        <v>58</v>
      </c>
      <c r="G181" s="388" t="s">
        <v>59</v>
      </c>
    </row>
    <row r="182" spans="1:7" ht="15" customHeight="1">
      <c r="A182" s="427" t="s">
        <v>9</v>
      </c>
      <c r="B182" s="717" t="s">
        <v>179</v>
      </c>
      <c r="C182" s="717"/>
      <c r="D182" s="427"/>
      <c r="E182" s="433"/>
      <c r="F182" s="433"/>
      <c r="G182" s="433">
        <f>E182*F182</f>
        <v>0</v>
      </c>
    </row>
    <row r="183" spans="1:7" ht="15" customHeight="1">
      <c r="A183" s="427" t="s">
        <v>45</v>
      </c>
      <c r="B183" s="717" t="s">
        <v>181</v>
      </c>
      <c r="C183" s="717"/>
      <c r="D183" s="427"/>
      <c r="E183" s="433"/>
      <c r="F183" s="433"/>
      <c r="G183" s="433">
        <f>E183*F183</f>
        <v>0</v>
      </c>
    </row>
    <row r="184" spans="1:7" ht="15" customHeight="1">
      <c r="A184" s="427" t="s">
        <v>14</v>
      </c>
      <c r="B184" s="717" t="s">
        <v>182</v>
      </c>
      <c r="C184" s="717"/>
      <c r="D184" s="427"/>
      <c r="E184" s="433"/>
      <c r="F184" s="433"/>
      <c r="G184" s="433">
        <f>E184*F184</f>
        <v>0</v>
      </c>
    </row>
    <row r="185" spans="1:7" ht="15" customHeight="1">
      <c r="A185" s="260"/>
      <c r="B185" s="631" t="s">
        <v>183</v>
      </c>
      <c r="C185" s="632"/>
      <c r="D185" s="260"/>
      <c r="E185" s="260"/>
      <c r="F185" s="260"/>
      <c r="G185" s="263">
        <f>SUM(G181:G184)</f>
        <v>0</v>
      </c>
    </row>
    <row r="186" ht="14.25">
      <c r="A186" s="377"/>
    </row>
    <row r="187" ht="14.25">
      <c r="A187" s="377"/>
    </row>
    <row r="188" ht="14.25">
      <c r="A188" s="377" t="s">
        <v>184</v>
      </c>
    </row>
    <row r="189" ht="15" thickBot="1">
      <c r="A189" s="377"/>
    </row>
    <row r="190" spans="1:7" ht="28.5" customHeight="1">
      <c r="A190" s="394" t="s">
        <v>37</v>
      </c>
      <c r="B190" s="730" t="s">
        <v>38</v>
      </c>
      <c r="C190" s="731"/>
      <c r="D190" s="387" t="s">
        <v>39</v>
      </c>
      <c r="E190" s="388" t="s">
        <v>210</v>
      </c>
      <c r="F190" s="388" t="s">
        <v>58</v>
      </c>
      <c r="G190" s="388" t="s">
        <v>59</v>
      </c>
    </row>
    <row r="191" spans="1:10" ht="15" customHeight="1">
      <c r="A191" s="427" t="s">
        <v>9</v>
      </c>
      <c r="B191" s="717" t="s">
        <v>185</v>
      </c>
      <c r="C191" s="717"/>
      <c r="D191" s="427" t="s">
        <v>85</v>
      </c>
      <c r="E191" s="289">
        <v>0.25</v>
      </c>
      <c r="F191" s="289">
        <v>32.6</v>
      </c>
      <c r="G191" s="290">
        <f>E191*F191</f>
        <v>8.15</v>
      </c>
      <c r="H191" s="243"/>
      <c r="I191" s="243"/>
      <c r="J191" s="243"/>
    </row>
    <row r="192" spans="1:10" ht="14.25" customHeight="1">
      <c r="A192" s="427" t="s">
        <v>45</v>
      </c>
      <c r="B192" s="717" t="s">
        <v>186</v>
      </c>
      <c r="C192" s="717"/>
      <c r="D192" s="427" t="s">
        <v>85</v>
      </c>
      <c r="E192" s="114"/>
      <c r="F192" s="44">
        <f>(1151.55+210.41+5.7+145.58)*1.2</f>
        <v>1815.888</v>
      </c>
      <c r="G192" s="103">
        <f>F192*E191</f>
        <v>453.972</v>
      </c>
      <c r="H192" s="65"/>
      <c r="I192" s="65"/>
      <c r="J192" s="65"/>
    </row>
    <row r="193" spans="1:10" ht="14.25" customHeight="1">
      <c r="A193" s="427" t="s">
        <v>14</v>
      </c>
      <c r="B193" s="717" t="s">
        <v>187</v>
      </c>
      <c r="C193" s="717"/>
      <c r="D193" s="427" t="s">
        <v>85</v>
      </c>
      <c r="E193" s="114"/>
      <c r="F193" s="114"/>
      <c r="G193" s="114"/>
      <c r="H193" s="65"/>
      <c r="I193" s="65"/>
      <c r="J193" s="65"/>
    </row>
    <row r="194" spans="1:10" ht="14.25">
      <c r="A194" s="427" t="s">
        <v>49</v>
      </c>
      <c r="B194" s="717" t="s">
        <v>188</v>
      </c>
      <c r="C194" s="717"/>
      <c r="D194" s="427" t="s">
        <v>85</v>
      </c>
      <c r="E194" s="114"/>
      <c r="F194" s="114"/>
      <c r="G194" s="114"/>
      <c r="H194" s="65"/>
      <c r="I194" s="65"/>
      <c r="J194" s="65"/>
    </row>
    <row r="195" spans="1:10" ht="15" customHeight="1">
      <c r="A195" s="427" t="s">
        <v>19</v>
      </c>
      <c r="B195" s="717" t="s">
        <v>189</v>
      </c>
      <c r="C195" s="717"/>
      <c r="D195" s="427" t="s">
        <v>85</v>
      </c>
      <c r="E195" s="114"/>
      <c r="F195" s="114"/>
      <c r="G195" s="114"/>
      <c r="H195" s="65"/>
      <c r="I195" s="65"/>
      <c r="J195" s="65"/>
    </row>
    <row r="196" spans="1:10" ht="15" customHeight="1">
      <c r="A196" s="427" t="s">
        <v>54</v>
      </c>
      <c r="B196" s="717" t="s">
        <v>190</v>
      </c>
      <c r="C196" s="717"/>
      <c r="D196" s="427" t="s">
        <v>101</v>
      </c>
      <c r="E196" s="241">
        <f>J196/F196</f>
        <v>9.0374125167525</v>
      </c>
      <c r="F196" s="43">
        <v>1.68</v>
      </c>
      <c r="G196" s="240">
        <f>E196*F196</f>
        <v>15.1828530281442</v>
      </c>
      <c r="H196" s="54"/>
      <c r="I196" s="448">
        <f>1288300*0.4/8485.23</f>
        <v>60.7314121125768</v>
      </c>
      <c r="J196" s="448">
        <f>I196*E191</f>
        <v>15.1828530281442</v>
      </c>
    </row>
    <row r="197" spans="1:10" ht="15" customHeight="1">
      <c r="A197" s="427" t="s">
        <v>22</v>
      </c>
      <c r="B197" s="717" t="s">
        <v>191</v>
      </c>
      <c r="C197" s="717"/>
      <c r="D197" s="427" t="s">
        <v>192</v>
      </c>
      <c r="E197" s="241">
        <f>J197/F197</f>
        <v>0.05029151310269934</v>
      </c>
      <c r="F197" s="43">
        <f>987*1.2</f>
        <v>1184.3999999999999</v>
      </c>
      <c r="G197" s="240">
        <f>E197*F197</f>
        <v>59.56526811883709</v>
      </c>
      <c r="H197" s="54"/>
      <c r="I197" s="448">
        <f>2021700/8485.23</f>
        <v>238.26107247534836</v>
      </c>
      <c r="J197" s="448">
        <f>I197*E191</f>
        <v>59.56526811883709</v>
      </c>
    </row>
    <row r="198" spans="1:10" ht="15" customHeight="1">
      <c r="A198" s="427" t="s">
        <v>72</v>
      </c>
      <c r="B198" s="717" t="s">
        <v>193</v>
      </c>
      <c r="C198" s="717"/>
      <c r="D198" s="427" t="s">
        <v>85</v>
      </c>
      <c r="E198" s="447"/>
      <c r="F198" s="241">
        <f>(229000+16300)/8485.23</f>
        <v>28.909057267746427</v>
      </c>
      <c r="G198" s="240">
        <f>F198*E191</f>
        <v>7.227264316936607</v>
      </c>
      <c r="H198" s="54"/>
      <c r="I198" s="54"/>
      <c r="J198" s="54"/>
    </row>
    <row r="199" spans="1:10" ht="14.25" customHeight="1">
      <c r="A199" s="427" t="s">
        <v>26</v>
      </c>
      <c r="B199" s="717" t="s">
        <v>194</v>
      </c>
      <c r="C199" s="717"/>
      <c r="D199" s="427" t="s">
        <v>85</v>
      </c>
      <c r="E199" s="447"/>
      <c r="F199" s="43">
        <v>2693.4</v>
      </c>
      <c r="G199" s="240">
        <f>F199*E191</f>
        <v>673.35</v>
      </c>
      <c r="H199" s="54"/>
      <c r="I199" s="54"/>
      <c r="J199" s="54"/>
    </row>
    <row r="200" spans="1:10" ht="15" customHeight="1">
      <c r="A200" s="427" t="s">
        <v>31</v>
      </c>
      <c r="B200" s="717" t="s">
        <v>195</v>
      </c>
      <c r="C200" s="717"/>
      <c r="D200" s="427" t="s">
        <v>85</v>
      </c>
      <c r="E200" s="447"/>
      <c r="F200" s="43">
        <v>300.6</v>
      </c>
      <c r="G200" s="240">
        <f>F200*E191</f>
        <v>75.15</v>
      </c>
      <c r="H200" s="54"/>
      <c r="I200" s="54"/>
      <c r="J200" s="54"/>
    </row>
    <row r="201" spans="1:10" ht="15" customHeight="1">
      <c r="A201" s="427" t="s">
        <v>79</v>
      </c>
      <c r="B201" s="717" t="s">
        <v>196</v>
      </c>
      <c r="C201" s="717"/>
      <c r="D201" s="427" t="s">
        <v>85</v>
      </c>
      <c r="E201" s="447"/>
      <c r="F201" s="43">
        <v>1242.8</v>
      </c>
      <c r="G201" s="240">
        <f>F201*E191</f>
        <v>310.7</v>
      </c>
      <c r="H201" s="54"/>
      <c r="I201" s="54"/>
      <c r="J201" s="54"/>
    </row>
    <row r="202" ht="14.25">
      <c r="A202" s="377"/>
    </row>
    <row r="203" ht="14.25">
      <c r="A203" s="377" t="s">
        <v>197</v>
      </c>
    </row>
    <row r="204" ht="15" thickBot="1">
      <c r="A204" s="386"/>
    </row>
    <row r="205" spans="1:7" ht="14.25" customHeight="1">
      <c r="A205" s="722" t="s">
        <v>37</v>
      </c>
      <c r="B205" s="730" t="s">
        <v>38</v>
      </c>
      <c r="C205" s="731"/>
      <c r="D205" s="387" t="s">
        <v>198</v>
      </c>
      <c r="E205" s="730" t="s">
        <v>59</v>
      </c>
      <c r="F205" s="738"/>
      <c r="G205" s="731"/>
    </row>
    <row r="206" spans="1:7" ht="14.25">
      <c r="A206" s="723"/>
      <c r="B206" s="732"/>
      <c r="C206" s="733"/>
      <c r="D206" s="435" t="s">
        <v>199</v>
      </c>
      <c r="E206" s="732"/>
      <c r="F206" s="739"/>
      <c r="G206" s="733"/>
    </row>
    <row r="207" spans="1:7" ht="15" customHeight="1">
      <c r="A207" s="427" t="s">
        <v>9</v>
      </c>
      <c r="B207" s="717" t="s">
        <v>200</v>
      </c>
      <c r="C207" s="717"/>
      <c r="D207" s="427" t="s">
        <v>85</v>
      </c>
      <c r="E207" s="662">
        <f>G44+G55+G59+G60+G92+G113+G125+G138+G153+G161+G177+G185</f>
        <v>1895.4787991458818</v>
      </c>
      <c r="F207" s="662"/>
      <c r="G207" s="662"/>
    </row>
    <row r="208" spans="1:7" ht="15" customHeight="1">
      <c r="A208" s="427" t="s">
        <v>45</v>
      </c>
      <c r="B208" s="717" t="s">
        <v>201</v>
      </c>
      <c r="C208" s="717"/>
      <c r="D208" s="427" t="s">
        <v>85</v>
      </c>
      <c r="E208" s="662">
        <f>SUM(G191:G201)</f>
        <v>1603.297385463918</v>
      </c>
      <c r="F208" s="662"/>
      <c r="G208" s="662"/>
    </row>
    <row r="209" spans="1:7" ht="14.25">
      <c r="A209" s="427" t="s">
        <v>14</v>
      </c>
      <c r="B209" s="717" t="s">
        <v>202</v>
      </c>
      <c r="C209" s="717"/>
      <c r="D209" s="427" t="s">
        <v>85</v>
      </c>
      <c r="E209" s="662">
        <f>SUM(E207:G208)</f>
        <v>3498.7761846098</v>
      </c>
      <c r="F209" s="662"/>
      <c r="G209" s="662"/>
    </row>
    <row r="210" spans="1:7" ht="15" customHeight="1">
      <c r="A210" s="427">
        <v>4</v>
      </c>
      <c r="B210" s="717" t="s">
        <v>203</v>
      </c>
      <c r="C210" s="717"/>
      <c r="D210" s="427" t="s">
        <v>85</v>
      </c>
      <c r="E210" s="737"/>
      <c r="F210" s="737"/>
      <c r="G210" s="737"/>
    </row>
    <row r="211" spans="1:7" ht="15" customHeight="1">
      <c r="A211" s="427" t="s">
        <v>19</v>
      </c>
      <c r="B211" s="717" t="s">
        <v>204</v>
      </c>
      <c r="C211" s="717"/>
      <c r="D211" s="427" t="s">
        <v>85</v>
      </c>
      <c r="E211" s="740">
        <f>E209-E210</f>
        <v>3498.7761846098</v>
      </c>
      <c r="F211" s="740"/>
      <c r="G211" s="740"/>
    </row>
    <row r="212" ht="14.25">
      <c r="A212" s="393"/>
    </row>
    <row r="213" ht="14.25">
      <c r="A213" s="393"/>
    </row>
    <row r="214" ht="14.25">
      <c r="B214" s="406" t="s">
        <v>63</v>
      </c>
    </row>
    <row r="215" ht="14.25">
      <c r="A215" s="393"/>
    </row>
    <row r="216" ht="14.25">
      <c r="B216" s="406" t="s">
        <v>206</v>
      </c>
    </row>
  </sheetData>
  <sheetProtection/>
  <mergeCells count="164">
    <mergeCell ref="B177:C177"/>
    <mergeCell ref="A7:G7"/>
    <mergeCell ref="A8:G8"/>
    <mergeCell ref="A9:G9"/>
    <mergeCell ref="B27:G27"/>
    <mergeCell ref="D24:E24"/>
    <mergeCell ref="F16:G16"/>
    <mergeCell ref="F18:G18"/>
    <mergeCell ref="F20:G20"/>
    <mergeCell ref="B28:G28"/>
    <mergeCell ref="C26:G26"/>
    <mergeCell ref="E47:E48"/>
    <mergeCell ref="B33:C34"/>
    <mergeCell ref="B35:C35"/>
    <mergeCell ref="F47:F48"/>
    <mergeCell ref="B41:C41"/>
    <mergeCell ref="B42:C42"/>
    <mergeCell ref="B43:C43"/>
    <mergeCell ref="D16:E16"/>
    <mergeCell ref="D18:E18"/>
    <mergeCell ref="D20:E20"/>
    <mergeCell ref="D22:E22"/>
    <mergeCell ref="F22:G22"/>
    <mergeCell ref="F24:G24"/>
    <mergeCell ref="E211:G211"/>
    <mergeCell ref="B205:C206"/>
    <mergeCell ref="B207:C207"/>
    <mergeCell ref="B208:C208"/>
    <mergeCell ref="B209:C209"/>
    <mergeCell ref="B210:C210"/>
    <mergeCell ref="B211:C211"/>
    <mergeCell ref="E207:G207"/>
    <mergeCell ref="E208:G208"/>
    <mergeCell ref="E209:G209"/>
    <mergeCell ref="B196:C196"/>
    <mergeCell ref="B197:C197"/>
    <mergeCell ref="B198:C198"/>
    <mergeCell ref="E210:G210"/>
    <mergeCell ref="B199:C199"/>
    <mergeCell ref="B200:C200"/>
    <mergeCell ref="B201:C201"/>
    <mergeCell ref="E205:G206"/>
    <mergeCell ref="B192:C192"/>
    <mergeCell ref="B193:C193"/>
    <mergeCell ref="B183:C183"/>
    <mergeCell ref="B184:C184"/>
    <mergeCell ref="B194:C194"/>
    <mergeCell ref="B195:C195"/>
    <mergeCell ref="B191:C191"/>
    <mergeCell ref="B169:C169"/>
    <mergeCell ref="B160:C160"/>
    <mergeCell ref="B161:C161"/>
    <mergeCell ref="B190:C190"/>
    <mergeCell ref="B185:C185"/>
    <mergeCell ref="B167:C167"/>
    <mergeCell ref="B181:C181"/>
    <mergeCell ref="B174:C174"/>
    <mergeCell ref="B175:C175"/>
    <mergeCell ref="B176:C176"/>
    <mergeCell ref="B143:C143"/>
    <mergeCell ref="B171:C171"/>
    <mergeCell ref="B172:C172"/>
    <mergeCell ref="B173:C173"/>
    <mergeCell ref="B170:C170"/>
    <mergeCell ref="B152:C152"/>
    <mergeCell ref="B151:C151"/>
    <mergeCell ref="B168:C168"/>
    <mergeCell ref="B153:C153"/>
    <mergeCell ref="B165:C165"/>
    <mergeCell ref="B70:C70"/>
    <mergeCell ref="B71:C71"/>
    <mergeCell ref="B72:C72"/>
    <mergeCell ref="B73:C73"/>
    <mergeCell ref="B74:C74"/>
    <mergeCell ref="B75:C75"/>
    <mergeCell ref="B147:C147"/>
    <mergeCell ref="B144:C144"/>
    <mergeCell ref="B97:C97"/>
    <mergeCell ref="B145:C145"/>
    <mergeCell ref="B146:C146"/>
    <mergeCell ref="B137:C137"/>
    <mergeCell ref="B134:C134"/>
    <mergeCell ref="B136:C136"/>
    <mergeCell ref="B104:C104"/>
    <mergeCell ref="B125:C125"/>
    <mergeCell ref="G47:G48"/>
    <mergeCell ref="B76:C76"/>
    <mergeCell ref="B77:C77"/>
    <mergeCell ref="B68:C68"/>
    <mergeCell ref="B69:C69"/>
    <mergeCell ref="B47:C47"/>
    <mergeCell ref="B63:C63"/>
    <mergeCell ref="B58:C58"/>
    <mergeCell ref="B66:C66"/>
    <mergeCell ref="D47:D48"/>
    <mergeCell ref="D130:G130"/>
    <mergeCell ref="D131:G131"/>
    <mergeCell ref="B82:C82"/>
    <mergeCell ref="B80:C80"/>
    <mergeCell ref="B81:C81"/>
    <mergeCell ref="A83:C83"/>
    <mergeCell ref="A84:C84"/>
    <mergeCell ref="B91:C91"/>
    <mergeCell ref="B101:C101"/>
    <mergeCell ref="B102:C102"/>
    <mergeCell ref="A157:A158"/>
    <mergeCell ref="B157:C158"/>
    <mergeCell ref="B105:C105"/>
    <mergeCell ref="B106:C106"/>
    <mergeCell ref="B107:C107"/>
    <mergeCell ref="B108:C108"/>
    <mergeCell ref="B109:C109"/>
    <mergeCell ref="B150:C150"/>
    <mergeCell ref="B149:C149"/>
    <mergeCell ref="B148:C148"/>
    <mergeCell ref="B159:C159"/>
    <mergeCell ref="B166:C166"/>
    <mergeCell ref="A205:A206"/>
    <mergeCell ref="B119:C119"/>
    <mergeCell ref="B120:C120"/>
    <mergeCell ref="B121:C121"/>
    <mergeCell ref="B122:C122"/>
    <mergeCell ref="B123:C123"/>
    <mergeCell ref="B124:C124"/>
    <mergeCell ref="B182:C182"/>
    <mergeCell ref="A33:A34"/>
    <mergeCell ref="B44:C44"/>
    <mergeCell ref="B59:C59"/>
    <mergeCell ref="B60:C60"/>
    <mergeCell ref="A40:A43"/>
    <mergeCell ref="B36:C36"/>
    <mergeCell ref="B37:C37"/>
    <mergeCell ref="B38:C38"/>
    <mergeCell ref="B39:C39"/>
    <mergeCell ref="B40:C40"/>
    <mergeCell ref="A47:A48"/>
    <mergeCell ref="A78:C78"/>
    <mergeCell ref="A79:C79"/>
    <mergeCell ref="B87:C87"/>
    <mergeCell ref="B85:C85"/>
    <mergeCell ref="B86:C86"/>
    <mergeCell ref="B67:C67"/>
    <mergeCell ref="A64:C64"/>
    <mergeCell ref="A65:C65"/>
    <mergeCell ref="A89:C89"/>
    <mergeCell ref="B90:C90"/>
    <mergeCell ref="B103:C103"/>
    <mergeCell ref="B111:C111"/>
    <mergeCell ref="B96:C96"/>
    <mergeCell ref="B92:C92"/>
    <mergeCell ref="B110:C110"/>
    <mergeCell ref="B98:C98"/>
    <mergeCell ref="B99:C99"/>
    <mergeCell ref="B100:C100"/>
    <mergeCell ref="B112:C112"/>
    <mergeCell ref="B118:C118"/>
    <mergeCell ref="B113:C113"/>
    <mergeCell ref="B138:C138"/>
    <mergeCell ref="B129:C129"/>
    <mergeCell ref="B130:C130"/>
    <mergeCell ref="B131:C131"/>
    <mergeCell ref="B132:C132"/>
    <mergeCell ref="B133:C133"/>
    <mergeCell ref="B135:C135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87">
      <selection activeCell="G215" sqref="G215"/>
    </sheetView>
  </sheetViews>
  <sheetFormatPr defaultColWidth="9.00390625" defaultRowHeight="12.75"/>
  <cols>
    <col min="1" max="1" width="5.625" style="174" customWidth="1"/>
    <col min="2" max="2" width="16.00390625" style="174" customWidth="1"/>
    <col min="3" max="3" width="31.75390625" style="174" customWidth="1"/>
    <col min="4" max="4" width="9.625" style="174" customWidth="1"/>
    <col min="5" max="5" width="13.625" style="174" customWidth="1"/>
    <col min="6" max="7" width="11.875" style="174" customWidth="1"/>
    <col min="8" max="16384" width="9.125" style="174" customWidth="1"/>
  </cols>
  <sheetData>
    <row r="1" spans="1:4" ht="18">
      <c r="A1" s="173" t="s">
        <v>0</v>
      </c>
      <c r="D1" s="173" t="s">
        <v>1</v>
      </c>
    </row>
    <row r="2" spans="1:4" ht="18">
      <c r="A2" s="173" t="s">
        <v>2</v>
      </c>
      <c r="D2" s="175" t="s">
        <v>3</v>
      </c>
    </row>
    <row r="3" ht="18">
      <c r="D3" s="175" t="s">
        <v>4</v>
      </c>
    </row>
    <row r="7" spans="1:7" ht="18">
      <c r="A7" s="583" t="s">
        <v>5</v>
      </c>
      <c r="B7" s="583"/>
      <c r="C7" s="583"/>
      <c r="D7" s="583"/>
      <c r="E7" s="583"/>
      <c r="F7" s="583"/>
      <c r="G7" s="583"/>
    </row>
    <row r="8" spans="1:7" ht="18">
      <c r="A8" s="584" t="s">
        <v>6</v>
      </c>
      <c r="B8" s="584"/>
      <c r="C8" s="584"/>
      <c r="D8" s="584"/>
      <c r="E8" s="584"/>
      <c r="F8" s="584"/>
      <c r="G8" s="584"/>
    </row>
    <row r="9" spans="1:7" ht="18">
      <c r="A9" s="583" t="s">
        <v>7</v>
      </c>
      <c r="B9" s="583"/>
      <c r="C9" s="583"/>
      <c r="D9" s="583"/>
      <c r="E9" s="583"/>
      <c r="F9" s="583"/>
      <c r="G9" s="583"/>
    </row>
    <row r="14" ht="14.25">
      <c r="A14" s="176" t="s">
        <v>8</v>
      </c>
    </row>
    <row r="15" ht="13.5" thickBot="1"/>
    <row r="16" spans="1:7" ht="42.75" customHeight="1" thickBot="1">
      <c r="A16" s="177" t="s">
        <v>9</v>
      </c>
      <c r="B16" s="178" t="s">
        <v>10</v>
      </c>
      <c r="C16" s="178" t="s">
        <v>233</v>
      </c>
      <c r="D16" s="568" t="s">
        <v>12</v>
      </c>
      <c r="E16" s="569"/>
      <c r="F16" s="568" t="s">
        <v>13</v>
      </c>
      <c r="G16" s="569"/>
    </row>
    <row r="17" ht="13.5" thickBot="1">
      <c r="A17" s="180"/>
    </row>
    <row r="18" spans="1:7" ht="43.5" customHeight="1" thickBot="1">
      <c r="A18" s="177" t="s">
        <v>14</v>
      </c>
      <c r="B18" s="178" t="s">
        <v>15</v>
      </c>
      <c r="C18" s="178" t="s">
        <v>234</v>
      </c>
      <c r="D18" s="568" t="s">
        <v>17</v>
      </c>
      <c r="E18" s="569"/>
      <c r="F18" s="568" t="s">
        <v>235</v>
      </c>
      <c r="G18" s="569"/>
    </row>
    <row r="19" ht="13.5" thickBot="1">
      <c r="A19" s="180"/>
    </row>
    <row r="20" spans="1:7" ht="43.5" customHeight="1" thickBot="1">
      <c r="A20" s="177" t="s">
        <v>19</v>
      </c>
      <c r="B20" s="178" t="s">
        <v>20</v>
      </c>
      <c r="C20" s="179">
        <v>36</v>
      </c>
      <c r="D20" s="568" t="s">
        <v>21</v>
      </c>
      <c r="E20" s="569"/>
      <c r="F20" s="568" t="s">
        <v>601</v>
      </c>
      <c r="G20" s="569"/>
    </row>
    <row r="21" ht="13.5" thickBot="1">
      <c r="A21" s="180"/>
    </row>
    <row r="22" spans="1:7" ht="43.5" customHeight="1" thickBot="1">
      <c r="A22" s="177" t="s">
        <v>22</v>
      </c>
      <c r="B22" s="178" t="s">
        <v>23</v>
      </c>
      <c r="C22" s="178" t="s">
        <v>236</v>
      </c>
      <c r="D22" s="568" t="s">
        <v>25</v>
      </c>
      <c r="E22" s="569"/>
      <c r="F22" s="568"/>
      <c r="G22" s="569"/>
    </row>
    <row r="23" ht="13.5" thickBot="1">
      <c r="A23" s="180"/>
    </row>
    <row r="24" spans="1:7" ht="29.25" customHeight="1" thickBot="1">
      <c r="A24" s="177" t="s">
        <v>26</v>
      </c>
      <c r="B24" s="178" t="s">
        <v>27</v>
      </c>
      <c r="C24" s="181" t="s">
        <v>28</v>
      </c>
      <c r="D24" s="585" t="s">
        <v>29</v>
      </c>
      <c r="E24" s="586"/>
      <c r="F24" s="576" t="s">
        <v>30</v>
      </c>
      <c r="G24" s="577"/>
    </row>
    <row r="25" ht="13.5" thickBot="1">
      <c r="A25" s="180"/>
    </row>
    <row r="26" spans="1:7" ht="15" thickBot="1">
      <c r="A26" s="182" t="s">
        <v>31</v>
      </c>
      <c r="B26" s="183" t="s">
        <v>32</v>
      </c>
      <c r="C26" s="578" t="s">
        <v>237</v>
      </c>
      <c r="D26" s="579"/>
      <c r="E26" s="579"/>
      <c r="F26" s="579"/>
      <c r="G26" s="580"/>
    </row>
    <row r="27" spans="1:7" ht="15" thickBot="1">
      <c r="A27" s="184"/>
      <c r="B27" s="578"/>
      <c r="C27" s="579"/>
      <c r="D27" s="579"/>
      <c r="E27" s="579"/>
      <c r="F27" s="579"/>
      <c r="G27" s="580"/>
    </row>
    <row r="28" spans="1:7" ht="15" thickBot="1">
      <c r="A28" s="184"/>
      <c r="B28" s="578"/>
      <c r="C28" s="579"/>
      <c r="D28" s="579"/>
      <c r="E28" s="579"/>
      <c r="F28" s="579"/>
      <c r="G28" s="580"/>
    </row>
    <row r="30" ht="14.25">
      <c r="A30" s="176" t="s">
        <v>35</v>
      </c>
    </row>
    <row r="31" ht="14.25">
      <c r="A31" s="176"/>
    </row>
    <row r="32" ht="15" thickBot="1">
      <c r="A32" s="185" t="s">
        <v>36</v>
      </c>
    </row>
    <row r="33" spans="1:7" ht="28.5">
      <c r="A33" s="542" t="s">
        <v>37</v>
      </c>
      <c r="B33" s="548" t="s">
        <v>38</v>
      </c>
      <c r="C33" s="549"/>
      <c r="D33" s="186" t="s">
        <v>39</v>
      </c>
      <c r="E33" s="187" t="s">
        <v>207</v>
      </c>
      <c r="F33" s="187" t="s">
        <v>40</v>
      </c>
      <c r="G33" s="187" t="s">
        <v>41</v>
      </c>
    </row>
    <row r="34" spans="1:7" ht="18.75" customHeight="1" thickBot="1">
      <c r="A34" s="543"/>
      <c r="B34" s="581"/>
      <c r="C34" s="582"/>
      <c r="D34" s="188"/>
      <c r="E34" s="189"/>
      <c r="F34" s="189"/>
      <c r="G34" s="189"/>
    </row>
    <row r="35" spans="1:7" ht="14.25">
      <c r="A35" s="190">
        <v>1</v>
      </c>
      <c r="B35" s="570">
        <v>2</v>
      </c>
      <c r="C35" s="571"/>
      <c r="D35" s="191">
        <v>3</v>
      </c>
      <c r="E35" s="192">
        <v>4</v>
      </c>
      <c r="F35" s="192">
        <v>5</v>
      </c>
      <c r="G35" s="192">
        <v>6</v>
      </c>
    </row>
    <row r="36" spans="1:7" ht="15" customHeight="1">
      <c r="A36" s="193" t="s">
        <v>9</v>
      </c>
      <c r="B36" s="538" t="s">
        <v>238</v>
      </c>
      <c r="C36" s="538"/>
      <c r="D36" s="193" t="s">
        <v>43</v>
      </c>
      <c r="E36" s="194" t="s">
        <v>44</v>
      </c>
      <c r="F36" s="195">
        <f>(F50+F51)/2/40</f>
        <v>0.936777052238806</v>
      </c>
      <c r="G36" s="196">
        <f>4*F36*2</f>
        <v>7.494216417910448</v>
      </c>
    </row>
    <row r="37" spans="1:7" ht="15" customHeight="1">
      <c r="A37" s="193" t="s">
        <v>45</v>
      </c>
      <c r="B37" s="538" t="s">
        <v>239</v>
      </c>
      <c r="C37" s="538"/>
      <c r="D37" s="193" t="s">
        <v>43</v>
      </c>
      <c r="E37" s="197" t="s">
        <v>240</v>
      </c>
      <c r="F37" s="195">
        <f>F50/40</f>
        <v>0.764179104477612</v>
      </c>
      <c r="G37" s="196">
        <f>E37*F37</f>
        <v>6.113432835820896</v>
      </c>
    </row>
    <row r="38" spans="1:7" ht="15" customHeight="1">
      <c r="A38" s="193" t="s">
        <v>14</v>
      </c>
      <c r="B38" s="538" t="s">
        <v>241</v>
      </c>
      <c r="C38" s="538"/>
      <c r="D38" s="193" t="s">
        <v>43</v>
      </c>
      <c r="E38" s="197" t="s">
        <v>242</v>
      </c>
      <c r="F38" s="195">
        <f>F50/40</f>
        <v>0.764179104477612</v>
      </c>
      <c r="G38" s="196">
        <f aca="true" t="shared" si="0" ref="G38:G43">E38*F38</f>
        <v>2.292537313432836</v>
      </c>
    </row>
    <row r="39" spans="1:7" ht="15" customHeight="1">
      <c r="A39" s="193" t="s">
        <v>49</v>
      </c>
      <c r="B39" s="538" t="s">
        <v>243</v>
      </c>
      <c r="C39" s="538"/>
      <c r="D39" s="193" t="s">
        <v>43</v>
      </c>
      <c r="E39" s="197" t="s">
        <v>228</v>
      </c>
      <c r="F39" s="195">
        <f>F50/40</f>
        <v>0.764179104477612</v>
      </c>
      <c r="G39" s="196">
        <f t="shared" si="0"/>
        <v>0.764179104477612</v>
      </c>
    </row>
    <row r="40" spans="1:7" ht="15" customHeight="1">
      <c r="A40" s="544" t="s">
        <v>19</v>
      </c>
      <c r="B40" s="545" t="s">
        <v>51</v>
      </c>
      <c r="C40" s="546"/>
      <c r="D40" s="198"/>
      <c r="E40" s="199"/>
      <c r="F40" s="200"/>
      <c r="G40" s="193">
        <f t="shared" si="0"/>
        <v>0</v>
      </c>
    </row>
    <row r="41" spans="1:7" ht="14.25" customHeight="1">
      <c r="A41" s="544"/>
      <c r="B41" s="572" t="s">
        <v>52</v>
      </c>
      <c r="C41" s="573"/>
      <c r="D41" s="198"/>
      <c r="E41" s="201"/>
      <c r="F41" s="200"/>
      <c r="G41" s="193">
        <f t="shared" si="0"/>
        <v>0</v>
      </c>
    </row>
    <row r="42" spans="1:7" ht="15.75" customHeight="1">
      <c r="A42" s="544"/>
      <c r="B42" s="572" t="s">
        <v>53</v>
      </c>
      <c r="C42" s="573"/>
      <c r="D42" s="198"/>
      <c r="E42" s="201"/>
      <c r="F42" s="200"/>
      <c r="G42" s="193">
        <f t="shared" si="0"/>
        <v>0</v>
      </c>
    </row>
    <row r="43" spans="1:7" ht="14.25">
      <c r="A43" s="544"/>
      <c r="B43" s="574" t="s">
        <v>53</v>
      </c>
      <c r="C43" s="575"/>
      <c r="D43" s="198"/>
      <c r="E43" s="202"/>
      <c r="F43" s="200"/>
      <c r="G43" s="193">
        <f t="shared" si="0"/>
        <v>0</v>
      </c>
    </row>
    <row r="44" spans="1:7" ht="14.25">
      <c r="A44" s="193" t="s">
        <v>54</v>
      </c>
      <c r="B44" s="538" t="s">
        <v>55</v>
      </c>
      <c r="C44" s="538"/>
      <c r="D44" s="193"/>
      <c r="E44" s="193"/>
      <c r="F44" s="193"/>
      <c r="G44" s="196">
        <f>SUM(G36:G43)</f>
        <v>16.664365671641793</v>
      </c>
    </row>
    <row r="45" ht="14.25">
      <c r="A45" s="185"/>
    </row>
    <row r="46" ht="15" thickBot="1">
      <c r="A46" s="185" t="s">
        <v>56</v>
      </c>
    </row>
    <row r="47" spans="1:7" ht="27.75" customHeight="1" thickBot="1">
      <c r="A47" s="542" t="s">
        <v>37</v>
      </c>
      <c r="B47" s="566" t="s">
        <v>57</v>
      </c>
      <c r="C47" s="567"/>
      <c r="D47" s="548" t="s">
        <v>39</v>
      </c>
      <c r="E47" s="548" t="s">
        <v>207</v>
      </c>
      <c r="F47" s="542" t="s">
        <v>58</v>
      </c>
      <c r="G47" s="549" t="s">
        <v>59</v>
      </c>
    </row>
    <row r="48" spans="1:7" ht="15" customHeight="1">
      <c r="A48" s="547"/>
      <c r="B48" s="192" t="s">
        <v>60</v>
      </c>
      <c r="C48" s="203" t="s">
        <v>61</v>
      </c>
      <c r="D48" s="550"/>
      <c r="E48" s="550"/>
      <c r="F48" s="547"/>
      <c r="G48" s="551"/>
    </row>
    <row r="49" spans="1:7" ht="14.25" customHeight="1">
      <c r="A49" s="193">
        <v>1</v>
      </c>
      <c r="B49" s="204" t="s">
        <v>62</v>
      </c>
      <c r="C49" s="204"/>
      <c r="D49" s="193" t="s">
        <v>43</v>
      </c>
      <c r="E49" s="193"/>
      <c r="F49" s="193"/>
      <c r="G49" s="193"/>
    </row>
    <row r="50" spans="1:7" ht="15" customHeight="1">
      <c r="A50" s="193">
        <v>2</v>
      </c>
      <c r="B50" s="204" t="s">
        <v>63</v>
      </c>
      <c r="C50" s="204" t="s">
        <v>78</v>
      </c>
      <c r="D50" s="193" t="s">
        <v>43</v>
      </c>
      <c r="E50" s="193">
        <v>16</v>
      </c>
      <c r="F50" s="195">
        <f>5120*12/2010</f>
        <v>30.567164179104477</v>
      </c>
      <c r="G50" s="196">
        <f aca="true" t="shared" si="1" ref="G50:G56">E50*F50</f>
        <v>489.07462686567163</v>
      </c>
    </row>
    <row r="51" spans="1:9" ht="15" customHeight="1">
      <c r="A51" s="193">
        <v>3</v>
      </c>
      <c r="B51" s="204" t="s">
        <v>65</v>
      </c>
      <c r="C51" s="204" t="s">
        <v>244</v>
      </c>
      <c r="D51" s="193" t="s">
        <v>43</v>
      </c>
      <c r="E51" s="193">
        <v>8</v>
      </c>
      <c r="F51" s="195">
        <f>355/E51</f>
        <v>44.375</v>
      </c>
      <c r="G51" s="193">
        <f t="shared" si="1"/>
        <v>355</v>
      </c>
      <c r="I51" s="174" t="s">
        <v>245</v>
      </c>
    </row>
    <row r="52" spans="1:9" ht="15" customHeight="1">
      <c r="A52" s="193">
        <v>4</v>
      </c>
      <c r="B52" s="204" t="s">
        <v>67</v>
      </c>
      <c r="C52" s="204" t="s">
        <v>394</v>
      </c>
      <c r="D52" s="193" t="s">
        <v>43</v>
      </c>
      <c r="E52" s="194" t="s">
        <v>246</v>
      </c>
      <c r="F52" s="195">
        <f>4382*2*12/4020</f>
        <v>26.161194029850748</v>
      </c>
      <c r="G52" s="196">
        <f>1*F52*2</f>
        <v>52.322388059701495</v>
      </c>
      <c r="I52" s="174" t="s">
        <v>247</v>
      </c>
    </row>
    <row r="53" spans="1:7" ht="15" customHeight="1">
      <c r="A53" s="193">
        <v>5</v>
      </c>
      <c r="B53" s="204" t="s">
        <v>70</v>
      </c>
      <c r="C53" s="204" t="s">
        <v>248</v>
      </c>
      <c r="D53" s="193" t="s">
        <v>43</v>
      </c>
      <c r="E53" s="193">
        <v>8</v>
      </c>
      <c r="F53" s="195">
        <f>5120*12/2010</f>
        <v>30.567164179104477</v>
      </c>
      <c r="G53" s="196">
        <f t="shared" si="1"/>
        <v>244.53731343283582</v>
      </c>
    </row>
    <row r="54" spans="1:9" ht="15" customHeight="1">
      <c r="A54" s="193">
        <v>6</v>
      </c>
      <c r="B54" s="204" t="s">
        <v>75</v>
      </c>
      <c r="C54" s="204" t="s">
        <v>395</v>
      </c>
      <c r="D54" s="193" t="s">
        <v>43</v>
      </c>
      <c r="E54" s="193">
        <v>4</v>
      </c>
      <c r="F54" s="195">
        <f>3301*12/2010</f>
        <v>19.707462686567165</v>
      </c>
      <c r="G54" s="196">
        <f t="shared" si="1"/>
        <v>78.82985074626866</v>
      </c>
      <c r="I54" s="174" t="s">
        <v>249</v>
      </c>
    </row>
    <row r="55" spans="1:7" ht="15" customHeight="1">
      <c r="A55" s="193">
        <v>7</v>
      </c>
      <c r="B55" s="204" t="s">
        <v>77</v>
      </c>
      <c r="C55" s="204" t="s">
        <v>64</v>
      </c>
      <c r="D55" s="193" t="s">
        <v>43</v>
      </c>
      <c r="E55" s="193">
        <v>8</v>
      </c>
      <c r="F55" s="195">
        <f>8720*12/2010</f>
        <v>52.059701492537314</v>
      </c>
      <c r="G55" s="196">
        <f t="shared" si="1"/>
        <v>416.4776119402985</v>
      </c>
    </row>
    <row r="56" spans="1:7" ht="15" customHeight="1">
      <c r="A56" s="193">
        <v>8</v>
      </c>
      <c r="B56" s="204" t="s">
        <v>80</v>
      </c>
      <c r="C56" s="204" t="s">
        <v>81</v>
      </c>
      <c r="D56" s="193" t="s">
        <v>43</v>
      </c>
      <c r="E56" s="193">
        <v>4</v>
      </c>
      <c r="F56" s="195">
        <f>3160*12/2010</f>
        <v>18.865671641791046</v>
      </c>
      <c r="G56" s="196">
        <f t="shared" si="1"/>
        <v>75.46268656716418</v>
      </c>
    </row>
    <row r="57" spans="1:7" ht="15" customHeight="1">
      <c r="A57" s="193"/>
      <c r="B57" s="204" t="s">
        <v>82</v>
      </c>
      <c r="C57" s="204"/>
      <c r="D57" s="193"/>
      <c r="E57" s="193"/>
      <c r="F57" s="193"/>
      <c r="G57" s="196">
        <f>SUM(G49:G56)</f>
        <v>1711.7044776119403</v>
      </c>
    </row>
    <row r="58" ht="15" customHeight="1">
      <c r="A58" s="205"/>
    </row>
    <row r="59" ht="15" thickBot="1">
      <c r="A59" s="185" t="s">
        <v>83</v>
      </c>
    </row>
    <row r="60" spans="1:7" ht="28.5" customHeight="1">
      <c r="A60" s="206" t="s">
        <v>37</v>
      </c>
      <c r="B60" s="548" t="s">
        <v>38</v>
      </c>
      <c r="C60" s="549"/>
      <c r="D60" s="187" t="s">
        <v>39</v>
      </c>
      <c r="E60" s="187" t="s">
        <v>207</v>
      </c>
      <c r="F60" s="187" t="s">
        <v>58</v>
      </c>
      <c r="G60" s="187" t="s">
        <v>59</v>
      </c>
    </row>
    <row r="61" spans="1:7" ht="15" customHeight="1">
      <c r="A61" s="193" t="s">
        <v>9</v>
      </c>
      <c r="B61" s="538" t="s">
        <v>84</v>
      </c>
      <c r="C61" s="538"/>
      <c r="D61" s="193" t="s">
        <v>85</v>
      </c>
      <c r="E61" s="207"/>
      <c r="F61" s="207"/>
      <c r="G61" s="196">
        <f>(G44+G57)*0.23</f>
        <v>397.52483395522387</v>
      </c>
    </row>
    <row r="62" spans="1:7" ht="15" customHeight="1">
      <c r="A62" s="193" t="s">
        <v>45</v>
      </c>
      <c r="B62" s="538" t="s">
        <v>86</v>
      </c>
      <c r="C62" s="538"/>
      <c r="D62" s="193" t="s">
        <v>85</v>
      </c>
      <c r="E62" s="207"/>
      <c r="F62" s="207"/>
      <c r="G62" s="196">
        <f>(G44+G57)*0.035</f>
        <v>60.49290951492537</v>
      </c>
    </row>
    <row r="63" ht="18" customHeight="1">
      <c r="A63" s="205"/>
    </row>
    <row r="64" ht="15" thickBot="1">
      <c r="A64" s="185" t="s">
        <v>87</v>
      </c>
    </row>
    <row r="65" spans="1:7" ht="27" customHeight="1" thickBot="1">
      <c r="A65" s="187" t="s">
        <v>37</v>
      </c>
      <c r="B65" s="548" t="s">
        <v>38</v>
      </c>
      <c r="C65" s="549"/>
      <c r="D65" s="186" t="s">
        <v>39</v>
      </c>
      <c r="E65" s="206" t="s">
        <v>207</v>
      </c>
      <c r="F65" s="187" t="s">
        <v>58</v>
      </c>
      <c r="G65" s="187" t="s">
        <v>59</v>
      </c>
    </row>
    <row r="66" spans="1:7" ht="15" customHeight="1">
      <c r="A66" s="556"/>
      <c r="B66" s="556"/>
      <c r="C66" s="556"/>
      <c r="D66" s="208"/>
      <c r="E66" s="208"/>
      <c r="F66" s="209"/>
      <c r="G66" s="209"/>
    </row>
    <row r="67" spans="1:7" ht="15" thickBot="1">
      <c r="A67" s="555" t="s">
        <v>88</v>
      </c>
      <c r="B67" s="555"/>
      <c r="C67" s="555"/>
      <c r="D67" s="210"/>
      <c r="E67" s="210"/>
      <c r="F67" s="211"/>
      <c r="G67" s="211"/>
    </row>
    <row r="68" spans="1:7" ht="15" customHeight="1">
      <c r="A68" s="212" t="s">
        <v>9</v>
      </c>
      <c r="B68" s="553" t="s">
        <v>89</v>
      </c>
      <c r="C68" s="554"/>
      <c r="D68" s="213"/>
      <c r="E68" s="213"/>
      <c r="F68" s="213"/>
      <c r="G68" s="213"/>
    </row>
    <row r="69" spans="1:7" ht="15" customHeight="1">
      <c r="A69" s="214" t="s">
        <v>45</v>
      </c>
      <c r="B69" s="538" t="s">
        <v>90</v>
      </c>
      <c r="C69" s="538"/>
      <c r="D69" s="193" t="s">
        <v>91</v>
      </c>
      <c r="E69" s="193"/>
      <c r="F69" s="193"/>
      <c r="G69" s="193">
        <f>E69*F69</f>
        <v>0</v>
      </c>
    </row>
    <row r="70" spans="1:7" ht="15" customHeight="1">
      <c r="A70" s="214" t="s">
        <v>14</v>
      </c>
      <c r="B70" s="538" t="s">
        <v>92</v>
      </c>
      <c r="C70" s="538"/>
      <c r="D70" s="193" t="s">
        <v>91</v>
      </c>
      <c r="E70" s="193"/>
      <c r="F70" s="193"/>
      <c r="G70" s="193">
        <f>E70*F70</f>
        <v>0</v>
      </c>
    </row>
    <row r="71" spans="1:7" ht="15" customHeight="1">
      <c r="A71" s="214" t="s">
        <v>49</v>
      </c>
      <c r="B71" s="538" t="s">
        <v>93</v>
      </c>
      <c r="C71" s="538"/>
      <c r="D71" s="193" t="s">
        <v>91</v>
      </c>
      <c r="E71" s="193"/>
      <c r="F71" s="193"/>
      <c r="G71" s="193">
        <f>E71*F71</f>
        <v>0</v>
      </c>
    </row>
    <row r="72" spans="1:7" ht="15" customHeight="1">
      <c r="A72" s="214" t="s">
        <v>19</v>
      </c>
      <c r="B72" s="538" t="s">
        <v>94</v>
      </c>
      <c r="C72" s="538"/>
      <c r="D72" s="193"/>
      <c r="E72" s="193"/>
      <c r="F72" s="193"/>
      <c r="G72" s="193"/>
    </row>
    <row r="73" spans="1:7" ht="15" customHeight="1">
      <c r="A73" s="214"/>
      <c r="B73" s="540" t="s">
        <v>95</v>
      </c>
      <c r="C73" s="540"/>
      <c r="D73" s="215" t="s">
        <v>96</v>
      </c>
      <c r="E73" s="215"/>
      <c r="F73" s="215"/>
      <c r="G73" s="215"/>
    </row>
    <row r="74" spans="1:7" ht="15" customHeight="1">
      <c r="A74" s="214"/>
      <c r="B74" s="540" t="s">
        <v>97</v>
      </c>
      <c r="C74" s="540"/>
      <c r="D74" s="215" t="s">
        <v>91</v>
      </c>
      <c r="E74" s="215"/>
      <c r="F74" s="215"/>
      <c r="G74" s="215"/>
    </row>
    <row r="75" spans="1:7" ht="15" customHeight="1">
      <c r="A75" s="214"/>
      <c r="B75" s="540" t="s">
        <v>98</v>
      </c>
      <c r="C75" s="540"/>
      <c r="D75" s="215" t="s">
        <v>85</v>
      </c>
      <c r="E75" s="215"/>
      <c r="F75" s="215"/>
      <c r="G75" s="215">
        <f>E73*E74*F74</f>
        <v>0</v>
      </c>
    </row>
    <row r="76" spans="1:7" ht="15" customHeight="1">
      <c r="A76" s="214" t="s">
        <v>54</v>
      </c>
      <c r="B76" s="538" t="s">
        <v>99</v>
      </c>
      <c r="C76" s="538"/>
      <c r="D76" s="215"/>
      <c r="E76" s="215"/>
      <c r="F76" s="215"/>
      <c r="G76" s="215"/>
    </row>
    <row r="77" spans="1:7" ht="15" customHeight="1">
      <c r="A77" s="214"/>
      <c r="B77" s="540" t="s">
        <v>97</v>
      </c>
      <c r="C77" s="540"/>
      <c r="D77" s="215" t="s">
        <v>91</v>
      </c>
      <c r="E77" s="215"/>
      <c r="F77" s="215"/>
      <c r="G77" s="215"/>
    </row>
    <row r="78" spans="1:7" ht="15" customHeight="1">
      <c r="A78" s="214"/>
      <c r="B78" s="540" t="s">
        <v>100</v>
      </c>
      <c r="C78" s="540"/>
      <c r="D78" s="215" t="s">
        <v>101</v>
      </c>
      <c r="E78" s="215"/>
      <c r="F78" s="215"/>
      <c r="G78" s="215">
        <f>E78*F78</f>
        <v>0</v>
      </c>
    </row>
    <row r="79" spans="1:7" ht="15" customHeight="1">
      <c r="A79" s="214"/>
      <c r="B79" s="540" t="s">
        <v>102</v>
      </c>
      <c r="C79" s="540"/>
      <c r="D79" s="215" t="s">
        <v>91</v>
      </c>
      <c r="E79" s="215"/>
      <c r="F79" s="215"/>
      <c r="G79" s="215">
        <f>E77*F79</f>
        <v>0</v>
      </c>
    </row>
    <row r="80" spans="1:7" ht="14.25" customHeight="1">
      <c r="A80" s="557"/>
      <c r="B80" s="557"/>
      <c r="C80" s="557"/>
      <c r="D80" s="216"/>
      <c r="E80" s="216"/>
      <c r="F80" s="216"/>
      <c r="G80" s="216"/>
    </row>
    <row r="81" spans="1:7" ht="14.25">
      <c r="A81" s="557" t="s">
        <v>103</v>
      </c>
      <c r="B81" s="557"/>
      <c r="C81" s="557"/>
      <c r="D81" s="216"/>
      <c r="E81" s="216"/>
      <c r="F81" s="216"/>
      <c r="G81" s="216"/>
    </row>
    <row r="82" spans="1:7" ht="15" customHeight="1">
      <c r="A82" s="214"/>
      <c r="B82" s="540" t="s">
        <v>97</v>
      </c>
      <c r="C82" s="540"/>
      <c r="D82" s="215" t="s">
        <v>91</v>
      </c>
      <c r="E82" s="215">
        <v>8</v>
      </c>
      <c r="F82" s="215"/>
      <c r="G82" s="215"/>
    </row>
    <row r="83" spans="1:7" ht="15" customHeight="1">
      <c r="A83" s="214"/>
      <c r="B83" s="540" t="s">
        <v>104</v>
      </c>
      <c r="C83" s="540"/>
      <c r="D83" s="215" t="s">
        <v>101</v>
      </c>
      <c r="E83" s="215">
        <v>1.35</v>
      </c>
      <c r="F83" s="215">
        <v>1.68</v>
      </c>
      <c r="G83" s="217">
        <f>E82*E83*F83</f>
        <v>18.144000000000002</v>
      </c>
    </row>
    <row r="84" spans="1:7" ht="14.25" customHeight="1">
      <c r="A84" s="214"/>
      <c r="B84" s="540" t="s">
        <v>105</v>
      </c>
      <c r="C84" s="540"/>
      <c r="D84" s="215" t="s">
        <v>85</v>
      </c>
      <c r="E84" s="215"/>
      <c r="F84" s="215">
        <v>11.8</v>
      </c>
      <c r="G84" s="217">
        <f>E82*F84</f>
        <v>94.4</v>
      </c>
    </row>
    <row r="85" spans="1:7" ht="15" customHeight="1">
      <c r="A85" s="557"/>
      <c r="B85" s="557"/>
      <c r="C85" s="557"/>
      <c r="D85" s="216"/>
      <c r="E85" s="216"/>
      <c r="F85" s="216"/>
      <c r="G85" s="216"/>
    </row>
    <row r="86" spans="1:7" ht="14.25">
      <c r="A86" s="557" t="s">
        <v>106</v>
      </c>
      <c r="B86" s="557"/>
      <c r="C86" s="557"/>
      <c r="D86" s="216"/>
      <c r="E86" s="216"/>
      <c r="F86" s="216"/>
      <c r="G86" s="216"/>
    </row>
    <row r="87" spans="1:7" ht="15" customHeight="1">
      <c r="A87" s="214"/>
      <c r="B87" s="540" t="s">
        <v>97</v>
      </c>
      <c r="C87" s="540"/>
      <c r="D87" s="215" t="s">
        <v>91</v>
      </c>
      <c r="E87" s="215">
        <v>4</v>
      </c>
      <c r="F87" s="215"/>
      <c r="G87" s="215"/>
    </row>
    <row r="88" spans="1:7" ht="15" customHeight="1">
      <c r="A88" s="214"/>
      <c r="B88" s="540" t="s">
        <v>104</v>
      </c>
      <c r="C88" s="540"/>
      <c r="D88" s="215" t="s">
        <v>101</v>
      </c>
      <c r="E88" s="215">
        <v>0.5</v>
      </c>
      <c r="F88" s="215">
        <v>1.68</v>
      </c>
      <c r="G88" s="217">
        <f>E87*E88*F88</f>
        <v>3.36</v>
      </c>
    </row>
    <row r="89" spans="1:7" ht="14.25" customHeight="1">
      <c r="A89" s="214"/>
      <c r="B89" s="540" t="s">
        <v>107</v>
      </c>
      <c r="C89" s="540"/>
      <c r="D89" s="215" t="s">
        <v>85</v>
      </c>
      <c r="E89" s="215"/>
      <c r="F89" s="215">
        <v>0.6</v>
      </c>
      <c r="G89" s="215">
        <f>E87*F89</f>
        <v>2.4</v>
      </c>
    </row>
    <row r="91" spans="1:7" ht="15.75">
      <c r="A91" s="557" t="s">
        <v>208</v>
      </c>
      <c r="B91" s="557"/>
      <c r="C91" s="557"/>
      <c r="D91" s="198"/>
      <c r="E91" s="198"/>
      <c r="F91" s="200"/>
      <c r="G91" s="200"/>
    </row>
    <row r="92" spans="1:7" ht="18.75" customHeight="1">
      <c r="A92" s="204"/>
      <c r="B92" s="541"/>
      <c r="C92" s="541"/>
      <c r="D92" s="193"/>
      <c r="E92" s="193"/>
      <c r="F92" s="193"/>
      <c r="G92" s="193"/>
    </row>
    <row r="93" spans="1:7" ht="14.25">
      <c r="A93" s="204"/>
      <c r="B93" s="541"/>
      <c r="C93" s="541"/>
      <c r="D93" s="193"/>
      <c r="E93" s="193"/>
      <c r="F93" s="193"/>
      <c r="G93" s="193"/>
    </row>
    <row r="94" spans="1:7" ht="14.25">
      <c r="A94" s="204"/>
      <c r="B94" s="558" t="s">
        <v>109</v>
      </c>
      <c r="C94" s="559"/>
      <c r="D94" s="193"/>
      <c r="E94" s="194"/>
      <c r="F94" s="193"/>
      <c r="G94" s="196">
        <f>SUM(G92:G93)</f>
        <v>0</v>
      </c>
    </row>
    <row r="95" spans="1:7" ht="14.25" customHeight="1">
      <c r="A95" s="193"/>
      <c r="B95" s="558" t="s">
        <v>108</v>
      </c>
      <c r="C95" s="559"/>
      <c r="D95" s="193"/>
      <c r="E95" s="194"/>
      <c r="F95" s="193"/>
      <c r="G95" s="196">
        <f>SUM(G69:G94)</f>
        <v>118.30400000000002</v>
      </c>
    </row>
    <row r="96" spans="1:7" ht="12.75">
      <c r="A96" s="218"/>
      <c r="B96" s="218"/>
      <c r="C96" s="218"/>
      <c r="D96" s="218"/>
      <c r="E96" s="218"/>
      <c r="F96" s="218"/>
      <c r="G96" s="218"/>
    </row>
    <row r="97" ht="15" thickBot="1">
      <c r="A97" s="185" t="s">
        <v>110</v>
      </c>
    </row>
    <row r="98" spans="1:7" ht="26.25" customHeight="1">
      <c r="A98" s="206" t="s">
        <v>37</v>
      </c>
      <c r="B98" s="219" t="s">
        <v>38</v>
      </c>
      <c r="C98" s="220"/>
      <c r="D98" s="186" t="s">
        <v>39</v>
      </c>
      <c r="E98" s="187" t="s">
        <v>207</v>
      </c>
      <c r="F98" s="187" t="s">
        <v>58</v>
      </c>
      <c r="G98" s="187" t="s">
        <v>59</v>
      </c>
    </row>
    <row r="99" spans="1:7" ht="15" customHeight="1">
      <c r="A99" s="193" t="s">
        <v>9</v>
      </c>
      <c r="B99" s="538" t="s">
        <v>111</v>
      </c>
      <c r="C99" s="538"/>
      <c r="D99" s="215" t="s">
        <v>91</v>
      </c>
      <c r="E99" s="215"/>
      <c r="F99" s="215"/>
      <c r="G99" s="193">
        <f>E99*F99</f>
        <v>0</v>
      </c>
    </row>
    <row r="100" spans="1:7" ht="15" customHeight="1">
      <c r="A100" s="193" t="s">
        <v>45</v>
      </c>
      <c r="B100" s="538" t="s">
        <v>112</v>
      </c>
      <c r="C100" s="538"/>
      <c r="D100" s="215" t="s">
        <v>91</v>
      </c>
      <c r="E100" s="215"/>
      <c r="F100" s="215"/>
      <c r="G100" s="193">
        <f>E100*F100</f>
        <v>0</v>
      </c>
    </row>
    <row r="101" spans="1:7" ht="15" customHeight="1">
      <c r="A101" s="193" t="s">
        <v>14</v>
      </c>
      <c r="B101" s="538" t="s">
        <v>113</v>
      </c>
      <c r="C101" s="538"/>
      <c r="D101" s="215" t="s">
        <v>91</v>
      </c>
      <c r="E101" s="215"/>
      <c r="F101" s="215"/>
      <c r="G101" s="193">
        <f>E101*F101</f>
        <v>0</v>
      </c>
    </row>
    <row r="102" spans="1:7" ht="15" customHeight="1">
      <c r="A102" s="193" t="s">
        <v>49</v>
      </c>
      <c r="B102" s="538" t="s">
        <v>94</v>
      </c>
      <c r="C102" s="538"/>
      <c r="D102" s="215"/>
      <c r="E102" s="215"/>
      <c r="F102" s="215"/>
      <c r="G102" s="215"/>
    </row>
    <row r="103" spans="1:7" ht="15" customHeight="1">
      <c r="A103" s="193"/>
      <c r="B103" s="540" t="s">
        <v>95</v>
      </c>
      <c r="C103" s="540"/>
      <c r="D103" s="215" t="s">
        <v>96</v>
      </c>
      <c r="E103" s="215">
        <v>2</v>
      </c>
      <c r="F103" s="215"/>
      <c r="G103" s="215"/>
    </row>
    <row r="104" spans="1:7" ht="15" customHeight="1">
      <c r="A104" s="193"/>
      <c r="B104" s="540" t="s">
        <v>97</v>
      </c>
      <c r="C104" s="540"/>
      <c r="D104" s="215" t="s">
        <v>91</v>
      </c>
      <c r="E104" s="215">
        <v>2</v>
      </c>
      <c r="F104" s="215"/>
      <c r="G104" s="215"/>
    </row>
    <row r="105" spans="1:7" ht="15" customHeight="1">
      <c r="A105" s="193"/>
      <c r="B105" s="540" t="s">
        <v>114</v>
      </c>
      <c r="C105" s="540"/>
      <c r="D105" s="215" t="s">
        <v>85</v>
      </c>
      <c r="E105" s="215"/>
      <c r="F105" s="215">
        <v>16.04</v>
      </c>
      <c r="G105" s="215">
        <f>E103*E104*F105</f>
        <v>64.16</v>
      </c>
    </row>
    <row r="106" spans="1:7" ht="15" customHeight="1">
      <c r="A106" s="193" t="s">
        <v>19</v>
      </c>
      <c r="B106" s="539" t="s">
        <v>115</v>
      </c>
      <c r="C106" s="539"/>
      <c r="D106" s="215"/>
      <c r="E106" s="215"/>
      <c r="F106" s="215"/>
      <c r="G106" s="215"/>
    </row>
    <row r="107" spans="1:7" ht="15" customHeight="1">
      <c r="A107" s="193"/>
      <c r="B107" s="540" t="s">
        <v>116</v>
      </c>
      <c r="C107" s="540"/>
      <c r="D107" s="215" t="s">
        <v>117</v>
      </c>
      <c r="E107" s="215">
        <v>2</v>
      </c>
      <c r="F107" s="215"/>
      <c r="G107" s="215"/>
    </row>
    <row r="108" spans="1:7" ht="15" customHeight="1">
      <c r="A108" s="193"/>
      <c r="B108" s="540" t="s">
        <v>118</v>
      </c>
      <c r="C108" s="540"/>
      <c r="D108" s="215" t="s">
        <v>85</v>
      </c>
      <c r="E108" s="215">
        <v>10</v>
      </c>
      <c r="F108" s="221">
        <f>(14249.86+97346.65)/73/12/193*0.33</f>
        <v>0.2178227003335936</v>
      </c>
      <c r="G108" s="217">
        <f>E107*E108*F108</f>
        <v>4.356454006671872</v>
      </c>
    </row>
    <row r="109" spans="1:7" ht="15" customHeight="1">
      <c r="A109" s="193" t="s">
        <v>54</v>
      </c>
      <c r="B109" s="539" t="s">
        <v>119</v>
      </c>
      <c r="C109" s="539"/>
      <c r="D109" s="215"/>
      <c r="E109" s="215"/>
      <c r="F109" s="215"/>
      <c r="G109" s="215"/>
    </row>
    <row r="110" spans="1:7" ht="15" customHeight="1">
      <c r="A110" s="193"/>
      <c r="B110" s="540" t="s">
        <v>120</v>
      </c>
      <c r="C110" s="540"/>
      <c r="D110" s="215" t="s">
        <v>117</v>
      </c>
      <c r="E110" s="215"/>
      <c r="F110" s="215"/>
      <c r="G110" s="215"/>
    </row>
    <row r="111" spans="1:7" ht="15" customHeight="1">
      <c r="A111" s="193"/>
      <c r="B111" s="540" t="s">
        <v>121</v>
      </c>
      <c r="C111" s="540"/>
      <c r="D111" s="215" t="s">
        <v>85</v>
      </c>
      <c r="E111" s="215"/>
      <c r="F111" s="215"/>
      <c r="G111" s="215">
        <f>E110*E111*F111</f>
        <v>0</v>
      </c>
    </row>
    <row r="112" spans="1:7" ht="15" customHeight="1">
      <c r="A112" s="193" t="s">
        <v>22</v>
      </c>
      <c r="B112" s="539" t="s">
        <v>99</v>
      </c>
      <c r="C112" s="539"/>
      <c r="D112" s="215"/>
      <c r="E112" s="215"/>
      <c r="F112" s="215"/>
      <c r="G112" s="215"/>
    </row>
    <row r="113" spans="1:7" ht="15" customHeight="1">
      <c r="A113" s="193"/>
      <c r="B113" s="540" t="s">
        <v>97</v>
      </c>
      <c r="C113" s="540"/>
      <c r="D113" s="215" t="s">
        <v>91</v>
      </c>
      <c r="E113" s="215">
        <v>3</v>
      </c>
      <c r="F113" s="215"/>
      <c r="G113" s="215"/>
    </row>
    <row r="114" spans="1:7" ht="15" customHeight="1">
      <c r="A114" s="193"/>
      <c r="B114" s="540" t="s">
        <v>102</v>
      </c>
      <c r="C114" s="540"/>
      <c r="D114" s="215" t="s">
        <v>85</v>
      </c>
      <c r="E114" s="215"/>
      <c r="F114" s="215">
        <v>3.71</v>
      </c>
      <c r="G114" s="217">
        <f>E113*F114</f>
        <v>11.129999999999999</v>
      </c>
    </row>
    <row r="115" spans="1:7" ht="14.25" customHeight="1">
      <c r="A115" s="193" t="s">
        <v>72</v>
      </c>
      <c r="B115" s="538" t="s">
        <v>122</v>
      </c>
      <c r="C115" s="538"/>
      <c r="D115" s="215" t="s">
        <v>91</v>
      </c>
      <c r="E115" s="215"/>
      <c r="F115" s="215"/>
      <c r="G115" s="215">
        <f>E115*F115</f>
        <v>0</v>
      </c>
    </row>
    <row r="116" spans="1:7" ht="14.25" customHeight="1">
      <c r="A116" s="193"/>
      <c r="B116" s="558" t="s">
        <v>123</v>
      </c>
      <c r="C116" s="559"/>
      <c r="D116" s="193"/>
      <c r="E116" s="194"/>
      <c r="F116" s="193"/>
      <c r="G116" s="196">
        <f>SUM(G99:G115)</f>
        <v>79.64645400667186</v>
      </c>
    </row>
    <row r="117" ht="14.25">
      <c r="A117" s="176"/>
    </row>
    <row r="118" ht="14.25">
      <c r="A118" s="185" t="s">
        <v>124</v>
      </c>
    </row>
    <row r="119" ht="15" thickBot="1">
      <c r="A119" s="185"/>
    </row>
    <row r="120" spans="1:9" ht="29.25" customHeight="1">
      <c r="A120" s="206" t="s">
        <v>37</v>
      </c>
      <c r="B120" s="219" t="s">
        <v>38</v>
      </c>
      <c r="C120" s="220"/>
      <c r="D120" s="186" t="s">
        <v>39</v>
      </c>
      <c r="E120" s="222" t="s">
        <v>207</v>
      </c>
      <c r="F120" s="187" t="s">
        <v>58</v>
      </c>
      <c r="G120" s="187" t="s">
        <v>59</v>
      </c>
      <c r="H120" s="223"/>
      <c r="I120" s="224"/>
    </row>
    <row r="121" spans="1:9" ht="15" customHeight="1">
      <c r="A121" s="193" t="s">
        <v>9</v>
      </c>
      <c r="B121" s="538" t="s">
        <v>125</v>
      </c>
      <c r="C121" s="538"/>
      <c r="D121" s="215" t="s">
        <v>96</v>
      </c>
      <c r="E121" s="215">
        <v>1</v>
      </c>
      <c r="F121" s="215"/>
      <c r="G121" s="215"/>
      <c r="H121" s="200"/>
      <c r="I121" s="224"/>
    </row>
    <row r="122" spans="1:9" ht="15" customHeight="1">
      <c r="A122" s="193" t="s">
        <v>45</v>
      </c>
      <c r="B122" s="538" t="s">
        <v>126</v>
      </c>
      <c r="C122" s="538"/>
      <c r="D122" s="215" t="s">
        <v>127</v>
      </c>
      <c r="E122" s="215">
        <v>30</v>
      </c>
      <c r="F122" s="215"/>
      <c r="G122" s="215"/>
      <c r="H122" s="200"/>
      <c r="I122" s="224"/>
    </row>
    <row r="123" spans="1:9" ht="26.25" customHeight="1">
      <c r="A123" s="193" t="s">
        <v>14</v>
      </c>
      <c r="B123" s="538" t="s">
        <v>128</v>
      </c>
      <c r="C123" s="538"/>
      <c r="D123" s="215" t="s">
        <v>129</v>
      </c>
      <c r="E123" s="215">
        <v>6</v>
      </c>
      <c r="F123" s="221">
        <f>1880.95/722.42</f>
        <v>2.6036793001301186</v>
      </c>
      <c r="G123" s="217">
        <f>E121*E123*F123</f>
        <v>15.622075800780712</v>
      </c>
      <c r="H123" s="200"/>
      <c r="I123" s="224"/>
    </row>
    <row r="124" spans="1:9" ht="14.25" customHeight="1">
      <c r="A124" s="193" t="s">
        <v>49</v>
      </c>
      <c r="B124" s="538" t="s">
        <v>130</v>
      </c>
      <c r="C124" s="538"/>
      <c r="D124" s="215" t="s">
        <v>131</v>
      </c>
      <c r="E124" s="215"/>
      <c r="F124" s="215"/>
      <c r="G124" s="215"/>
      <c r="H124" s="200"/>
      <c r="I124" s="224"/>
    </row>
    <row r="125" spans="1:9" ht="15" customHeight="1">
      <c r="A125" s="193"/>
      <c r="B125" s="538" t="s">
        <v>132</v>
      </c>
      <c r="C125" s="538"/>
      <c r="D125" s="215" t="s">
        <v>131</v>
      </c>
      <c r="E125" s="215"/>
      <c r="F125" s="215"/>
      <c r="G125" s="215"/>
      <c r="H125" s="200"/>
      <c r="I125" s="224"/>
    </row>
    <row r="126" spans="1:9" ht="15">
      <c r="A126" s="193"/>
      <c r="B126" s="538" t="s">
        <v>133</v>
      </c>
      <c r="C126" s="538"/>
      <c r="D126" s="215" t="s">
        <v>131</v>
      </c>
      <c r="E126" s="225">
        <f>6.6/100*E122</f>
        <v>1.98</v>
      </c>
      <c r="F126" s="225">
        <v>15.22</v>
      </c>
      <c r="G126" s="217">
        <f>E126*F126</f>
        <v>30.1356</v>
      </c>
      <c r="H126" s="200"/>
      <c r="I126" s="224"/>
    </row>
    <row r="127" spans="1:9" ht="15">
      <c r="A127" s="193"/>
      <c r="B127" s="538" t="s">
        <v>134</v>
      </c>
      <c r="C127" s="538"/>
      <c r="D127" s="215" t="s">
        <v>131</v>
      </c>
      <c r="E127" s="225"/>
      <c r="F127" s="225"/>
      <c r="G127" s="215"/>
      <c r="H127" s="200"/>
      <c r="I127" s="224"/>
    </row>
    <row r="128" spans="1:9" ht="15">
      <c r="A128" s="193"/>
      <c r="B128" s="558" t="s">
        <v>135</v>
      </c>
      <c r="C128" s="559"/>
      <c r="D128" s="193"/>
      <c r="E128" s="194"/>
      <c r="F128" s="193"/>
      <c r="G128" s="196">
        <f>SUM(G121:G127)</f>
        <v>45.75767580078071</v>
      </c>
      <c r="H128" s="200"/>
      <c r="I128" s="224"/>
    </row>
    <row r="129" spans="1:9" ht="12.75">
      <c r="A129" s="218"/>
      <c r="B129" s="218"/>
      <c r="C129" s="218"/>
      <c r="D129" s="218"/>
      <c r="E129" s="218"/>
      <c r="F129" s="218"/>
      <c r="G129" s="218"/>
      <c r="H129" s="218"/>
      <c r="I129" s="218"/>
    </row>
    <row r="130" ht="15" thickBot="1">
      <c r="A130" s="185" t="s">
        <v>136</v>
      </c>
    </row>
    <row r="131" spans="1:7" ht="28.5" customHeight="1">
      <c r="A131" s="206" t="s">
        <v>37</v>
      </c>
      <c r="B131" s="219" t="s">
        <v>38</v>
      </c>
      <c r="C131" s="220"/>
      <c r="D131" s="187" t="s">
        <v>39</v>
      </c>
      <c r="E131" s="187" t="s">
        <v>207</v>
      </c>
      <c r="F131" s="187" t="s">
        <v>58</v>
      </c>
      <c r="G131" s="187" t="s">
        <v>59</v>
      </c>
    </row>
    <row r="132" spans="1:7" ht="14.25" customHeight="1">
      <c r="A132" s="193" t="s">
        <v>9</v>
      </c>
      <c r="B132" s="538" t="s">
        <v>137</v>
      </c>
      <c r="C132" s="538"/>
      <c r="D132" s="193" t="s">
        <v>138</v>
      </c>
      <c r="E132" s="226"/>
      <c r="F132" s="215"/>
      <c r="G132" s="215"/>
    </row>
    <row r="133" spans="1:7" ht="14.25" customHeight="1">
      <c r="A133" s="193" t="s">
        <v>45</v>
      </c>
      <c r="B133" s="538" t="s">
        <v>139</v>
      </c>
      <c r="C133" s="538"/>
      <c r="D133" s="552"/>
      <c r="E133" s="552"/>
      <c r="F133" s="552"/>
      <c r="G133" s="552"/>
    </row>
    <row r="134" spans="1:7" ht="14.25" customHeight="1">
      <c r="A134" s="193" t="s">
        <v>14</v>
      </c>
      <c r="B134" s="538" t="s">
        <v>140</v>
      </c>
      <c r="C134" s="538"/>
      <c r="D134" s="552"/>
      <c r="E134" s="552"/>
      <c r="F134" s="552"/>
      <c r="G134" s="552"/>
    </row>
    <row r="135" spans="1:7" ht="15" customHeight="1">
      <c r="A135" s="193" t="s">
        <v>49</v>
      </c>
      <c r="B135" s="538" t="s">
        <v>141</v>
      </c>
      <c r="C135" s="538"/>
      <c r="D135" s="193" t="s">
        <v>138</v>
      </c>
      <c r="E135" s="215"/>
      <c r="F135" s="215"/>
      <c r="G135" s="215">
        <f>E135*F135*E132</f>
        <v>0</v>
      </c>
    </row>
    <row r="136" spans="1:7" ht="15" customHeight="1">
      <c r="A136" s="193" t="s">
        <v>19</v>
      </c>
      <c r="B136" s="538" t="s">
        <v>142</v>
      </c>
      <c r="C136" s="538"/>
      <c r="D136" s="193" t="s">
        <v>138</v>
      </c>
      <c r="E136" s="215"/>
      <c r="F136" s="215"/>
      <c r="G136" s="215">
        <f>E136*F136*E132</f>
        <v>0</v>
      </c>
    </row>
    <row r="137" spans="1:7" ht="15" customHeight="1">
      <c r="A137" s="193" t="s">
        <v>54</v>
      </c>
      <c r="B137" s="538" t="s">
        <v>143</v>
      </c>
      <c r="C137" s="538"/>
      <c r="D137" s="193" t="s">
        <v>85</v>
      </c>
      <c r="E137" s="215"/>
      <c r="F137" s="215"/>
      <c r="G137" s="215">
        <f>E132*F137</f>
        <v>0</v>
      </c>
    </row>
    <row r="138" spans="1:7" ht="15" customHeight="1">
      <c r="A138" s="193" t="s">
        <v>22</v>
      </c>
      <c r="B138" s="538" t="s">
        <v>144</v>
      </c>
      <c r="C138" s="538"/>
      <c r="D138" s="193" t="s">
        <v>85</v>
      </c>
      <c r="E138" s="215"/>
      <c r="F138" s="215"/>
      <c r="G138" s="215">
        <f>E132*F138</f>
        <v>0</v>
      </c>
    </row>
    <row r="139" spans="1:7" ht="15" customHeight="1">
      <c r="A139" s="193" t="s">
        <v>72</v>
      </c>
      <c r="B139" s="538" t="s">
        <v>145</v>
      </c>
      <c r="C139" s="538"/>
      <c r="D139" s="193" t="s">
        <v>85</v>
      </c>
      <c r="E139" s="215"/>
      <c r="F139" s="215"/>
      <c r="G139" s="215">
        <f>E132*F139</f>
        <v>0</v>
      </c>
    </row>
    <row r="140" spans="1:7" ht="15" customHeight="1">
      <c r="A140" s="193" t="s">
        <v>26</v>
      </c>
      <c r="B140" s="538" t="s">
        <v>146</v>
      </c>
      <c r="C140" s="538"/>
      <c r="D140" s="193" t="s">
        <v>85</v>
      </c>
      <c r="E140" s="215"/>
      <c r="F140" s="215"/>
      <c r="G140" s="215">
        <f>F140</f>
        <v>0</v>
      </c>
    </row>
    <row r="141" spans="1:7" ht="14.25">
      <c r="A141" s="193"/>
      <c r="B141" s="558" t="s">
        <v>147</v>
      </c>
      <c r="C141" s="559"/>
      <c r="D141" s="193"/>
      <c r="E141" s="194"/>
      <c r="F141" s="193"/>
      <c r="G141" s="196">
        <f>SUM(G137:G140)</f>
        <v>0</v>
      </c>
    </row>
    <row r="142" ht="14.25">
      <c r="A142" s="176"/>
    </row>
    <row r="143" ht="14.25">
      <c r="A143" s="176"/>
    </row>
    <row r="144" ht="14.25">
      <c r="A144" s="185" t="s">
        <v>148</v>
      </c>
    </row>
    <row r="145" ht="15" thickBot="1">
      <c r="A145" s="185"/>
    </row>
    <row r="146" spans="1:7" ht="28.5" customHeight="1">
      <c r="A146" s="206" t="s">
        <v>37</v>
      </c>
      <c r="B146" s="548" t="s">
        <v>38</v>
      </c>
      <c r="C146" s="549"/>
      <c r="D146" s="186" t="s">
        <v>39</v>
      </c>
      <c r="E146" s="187" t="s">
        <v>207</v>
      </c>
      <c r="F146" s="187" t="s">
        <v>58</v>
      </c>
      <c r="G146" s="187" t="s">
        <v>59</v>
      </c>
    </row>
    <row r="147" spans="1:7" ht="14.25" customHeight="1">
      <c r="A147" s="193" t="s">
        <v>9</v>
      </c>
      <c r="B147" s="538" t="s">
        <v>149</v>
      </c>
      <c r="C147" s="538"/>
      <c r="D147" s="193" t="s">
        <v>85</v>
      </c>
      <c r="E147" s="215"/>
      <c r="F147" s="215"/>
      <c r="G147" s="215">
        <f>E147*F147</f>
        <v>0</v>
      </c>
    </row>
    <row r="148" spans="1:7" ht="14.25" customHeight="1">
      <c r="A148" s="193" t="s">
        <v>45</v>
      </c>
      <c r="B148" s="538" t="s">
        <v>150</v>
      </c>
      <c r="C148" s="538"/>
      <c r="D148" s="193" t="s">
        <v>85</v>
      </c>
      <c r="E148" s="215"/>
      <c r="F148" s="215"/>
      <c r="G148" s="215">
        <v>10</v>
      </c>
    </row>
    <row r="149" spans="1:7" ht="15" customHeight="1">
      <c r="A149" s="193" t="s">
        <v>14</v>
      </c>
      <c r="B149" s="538" t="s">
        <v>151</v>
      </c>
      <c r="C149" s="538"/>
      <c r="D149" s="193" t="s">
        <v>96</v>
      </c>
      <c r="E149" s="215">
        <v>2</v>
      </c>
      <c r="F149" s="215">
        <v>271.78</v>
      </c>
      <c r="G149" s="217">
        <f aca="true" t="shared" si="2" ref="G149:G155">E149*F149</f>
        <v>543.56</v>
      </c>
    </row>
    <row r="150" spans="1:7" ht="14.25">
      <c r="A150" s="193" t="s">
        <v>49</v>
      </c>
      <c r="B150" s="538" t="s">
        <v>152</v>
      </c>
      <c r="C150" s="538"/>
      <c r="D150" s="193" t="s">
        <v>96</v>
      </c>
      <c r="E150" s="215">
        <v>1</v>
      </c>
      <c r="F150" s="215">
        <v>14</v>
      </c>
      <c r="G150" s="215">
        <f t="shared" si="2"/>
        <v>14</v>
      </c>
    </row>
    <row r="151" spans="1:7" ht="15" customHeight="1">
      <c r="A151" s="193" t="s">
        <v>19</v>
      </c>
      <c r="B151" s="538" t="s">
        <v>153</v>
      </c>
      <c r="C151" s="538"/>
      <c r="D151" s="193"/>
      <c r="E151" s="215" t="s">
        <v>250</v>
      </c>
      <c r="F151" s="215"/>
      <c r="G151" s="215"/>
    </row>
    <row r="152" spans="1:7" ht="15" customHeight="1">
      <c r="A152" s="193" t="s">
        <v>54</v>
      </c>
      <c r="B152" s="538" t="s">
        <v>154</v>
      </c>
      <c r="C152" s="538"/>
      <c r="D152" s="193"/>
      <c r="E152" s="215" t="s">
        <v>251</v>
      </c>
      <c r="F152" s="215"/>
      <c r="G152" s="215"/>
    </row>
    <row r="153" spans="1:7" ht="15" customHeight="1">
      <c r="A153" s="193" t="s">
        <v>22</v>
      </c>
      <c r="B153" s="538" t="s">
        <v>155</v>
      </c>
      <c r="C153" s="538"/>
      <c r="D153" s="193"/>
      <c r="E153" s="215"/>
      <c r="F153" s="215"/>
      <c r="G153" s="215">
        <f t="shared" si="2"/>
        <v>0</v>
      </c>
    </row>
    <row r="154" spans="1:7" ht="15" customHeight="1">
      <c r="A154" s="193" t="s">
        <v>72</v>
      </c>
      <c r="B154" s="538" t="s">
        <v>156</v>
      </c>
      <c r="C154" s="538"/>
      <c r="D154" s="193"/>
      <c r="E154" s="215" t="s">
        <v>250</v>
      </c>
      <c r="F154" s="215"/>
      <c r="G154" s="215"/>
    </row>
    <row r="155" spans="1:7" ht="15" customHeight="1">
      <c r="A155" s="193" t="s">
        <v>26</v>
      </c>
      <c r="B155" s="538" t="s">
        <v>157</v>
      </c>
      <c r="C155" s="538"/>
      <c r="D155" s="193" t="s">
        <v>85</v>
      </c>
      <c r="E155" s="215"/>
      <c r="F155" s="215"/>
      <c r="G155" s="215">
        <f t="shared" si="2"/>
        <v>0</v>
      </c>
    </row>
    <row r="156" spans="1:7" ht="15" customHeight="1">
      <c r="A156" s="193"/>
      <c r="B156" s="558" t="s">
        <v>158</v>
      </c>
      <c r="C156" s="559"/>
      <c r="D156" s="193"/>
      <c r="E156" s="194"/>
      <c r="F156" s="193"/>
      <c r="G156" s="196">
        <f>SUM(G147:G155)</f>
        <v>567.56</v>
      </c>
    </row>
    <row r="157" ht="14.25">
      <c r="A157" s="176"/>
    </row>
    <row r="158" ht="14.25">
      <c r="A158" s="185" t="s">
        <v>159</v>
      </c>
    </row>
    <row r="159" ht="15" thickBot="1">
      <c r="A159" s="185"/>
    </row>
    <row r="160" spans="1:7" ht="28.5" customHeight="1">
      <c r="A160" s="542" t="s">
        <v>37</v>
      </c>
      <c r="B160" s="548" t="s">
        <v>38</v>
      </c>
      <c r="C160" s="549"/>
      <c r="D160" s="186" t="s">
        <v>39</v>
      </c>
      <c r="E160" s="187" t="s">
        <v>207</v>
      </c>
      <c r="F160" s="187" t="s">
        <v>58</v>
      </c>
      <c r="G160" s="187" t="s">
        <v>59</v>
      </c>
    </row>
    <row r="161" spans="1:7" ht="15" customHeight="1">
      <c r="A161" s="547"/>
      <c r="B161" s="550"/>
      <c r="C161" s="551"/>
      <c r="D161" s="227"/>
      <c r="E161" s="228"/>
      <c r="F161" s="228"/>
      <c r="G161" s="228"/>
    </row>
    <row r="162" spans="1:7" ht="15" customHeight="1">
      <c r="A162" s="193" t="s">
        <v>9</v>
      </c>
      <c r="B162" s="552" t="s">
        <v>160</v>
      </c>
      <c r="C162" s="552"/>
      <c r="D162" s="193" t="s">
        <v>85</v>
      </c>
      <c r="E162" s="193"/>
      <c r="F162" s="193"/>
      <c r="G162" s="193">
        <f>E162*F162</f>
        <v>0</v>
      </c>
    </row>
    <row r="163" spans="1:7" ht="15" customHeight="1">
      <c r="A163" s="193"/>
      <c r="B163" s="560"/>
      <c r="C163" s="560"/>
      <c r="D163" s="193"/>
      <c r="E163" s="193"/>
      <c r="F163" s="193"/>
      <c r="G163" s="193"/>
    </row>
    <row r="164" spans="1:7" ht="15" customHeight="1">
      <c r="A164" s="193"/>
      <c r="B164" s="558" t="s">
        <v>161</v>
      </c>
      <c r="C164" s="559"/>
      <c r="D164" s="193"/>
      <c r="E164" s="193"/>
      <c r="F164" s="193"/>
      <c r="G164" s="193">
        <f>SUM(G162:G163)</f>
        <v>0</v>
      </c>
    </row>
    <row r="165" ht="15" customHeight="1">
      <c r="A165" s="176"/>
    </row>
    <row r="166" ht="14.25">
      <c r="A166" s="185" t="s">
        <v>162</v>
      </c>
    </row>
    <row r="167" ht="15" thickBot="1">
      <c r="A167" s="185"/>
    </row>
    <row r="168" spans="1:7" ht="28.5" customHeight="1">
      <c r="A168" s="206" t="s">
        <v>37</v>
      </c>
      <c r="B168" s="548" t="s">
        <v>38</v>
      </c>
      <c r="C168" s="549"/>
      <c r="D168" s="186" t="s">
        <v>39</v>
      </c>
      <c r="E168" s="187" t="s">
        <v>207</v>
      </c>
      <c r="F168" s="187" t="s">
        <v>58</v>
      </c>
      <c r="G168" s="187" t="s">
        <v>59</v>
      </c>
    </row>
    <row r="169" spans="1:7" ht="14.25" customHeight="1">
      <c r="A169" s="193" t="s">
        <v>9</v>
      </c>
      <c r="B169" s="538" t="s">
        <v>163</v>
      </c>
      <c r="C169" s="538"/>
      <c r="D169" s="193"/>
      <c r="E169" s="193"/>
      <c r="F169" s="193"/>
      <c r="G169" s="193"/>
    </row>
    <row r="170" spans="1:7" ht="14.25" customHeight="1">
      <c r="A170" s="193"/>
      <c r="B170" s="538" t="s">
        <v>164</v>
      </c>
      <c r="C170" s="538"/>
      <c r="D170" s="193" t="s">
        <v>165</v>
      </c>
      <c r="E170" s="215"/>
      <c r="F170" s="215"/>
      <c r="G170" s="215">
        <f>E170*F170</f>
        <v>0</v>
      </c>
    </row>
    <row r="171" spans="1:7" ht="14.25" customHeight="1">
      <c r="A171" s="193"/>
      <c r="B171" s="538" t="s">
        <v>167</v>
      </c>
      <c r="C171" s="538"/>
      <c r="D171" s="193" t="s">
        <v>165</v>
      </c>
      <c r="E171" s="215"/>
      <c r="F171" s="215"/>
      <c r="G171" s="215">
        <f aca="true" t="shared" si="3" ref="G171:G179">E171*F171</f>
        <v>0</v>
      </c>
    </row>
    <row r="172" spans="1:7" ht="14.25" customHeight="1">
      <c r="A172" s="193"/>
      <c r="B172" s="538" t="s">
        <v>168</v>
      </c>
      <c r="C172" s="538"/>
      <c r="D172" s="193" t="s">
        <v>165</v>
      </c>
      <c r="E172" s="215" t="s">
        <v>232</v>
      </c>
      <c r="F172" s="215">
        <v>49</v>
      </c>
      <c r="G172" s="215">
        <f>49*10</f>
        <v>490</v>
      </c>
    </row>
    <row r="173" spans="1:7" ht="29.25" customHeight="1">
      <c r="A173" s="193" t="s">
        <v>45</v>
      </c>
      <c r="B173" s="538" t="s">
        <v>170</v>
      </c>
      <c r="C173" s="538"/>
      <c r="D173" s="193" t="s">
        <v>165</v>
      </c>
      <c r="E173" s="215"/>
      <c r="F173" s="215"/>
      <c r="G173" s="215">
        <f t="shared" si="3"/>
        <v>0</v>
      </c>
    </row>
    <row r="174" spans="1:7" ht="15" customHeight="1">
      <c r="A174" s="193" t="s">
        <v>14</v>
      </c>
      <c r="B174" s="538" t="s">
        <v>171</v>
      </c>
      <c r="C174" s="538"/>
      <c r="D174" s="193" t="s">
        <v>85</v>
      </c>
      <c r="E174" s="215"/>
      <c r="F174" s="215"/>
      <c r="G174" s="215">
        <f t="shared" si="3"/>
        <v>0</v>
      </c>
    </row>
    <row r="175" spans="1:9" ht="15" customHeight="1">
      <c r="A175" s="193" t="s">
        <v>49</v>
      </c>
      <c r="B175" s="538" t="s">
        <v>172</v>
      </c>
      <c r="C175" s="538"/>
      <c r="D175" s="193" t="s">
        <v>91</v>
      </c>
      <c r="E175" s="215">
        <v>1</v>
      </c>
      <c r="F175" s="221">
        <f>23700*1.265/712.5</f>
        <v>42.0778947368421</v>
      </c>
      <c r="G175" s="217">
        <f t="shared" si="3"/>
        <v>42.0778947368421</v>
      </c>
      <c r="I175" s="174" t="s">
        <v>173</v>
      </c>
    </row>
    <row r="176" spans="1:7" ht="15" customHeight="1">
      <c r="A176" s="193" t="s">
        <v>19</v>
      </c>
      <c r="B176" s="538" t="s">
        <v>174</v>
      </c>
      <c r="C176" s="538"/>
      <c r="D176" s="193" t="s">
        <v>43</v>
      </c>
      <c r="E176" s="215"/>
      <c r="F176" s="215"/>
      <c r="G176" s="215">
        <f t="shared" si="3"/>
        <v>0</v>
      </c>
    </row>
    <row r="177" spans="1:9" ht="14.25" customHeight="1">
      <c r="A177" s="193" t="s">
        <v>54</v>
      </c>
      <c r="B177" s="470" t="s">
        <v>432</v>
      </c>
      <c r="C177" s="470"/>
      <c r="D177" s="21" t="s">
        <v>43</v>
      </c>
      <c r="E177" s="41">
        <f>2/40</f>
        <v>0.05</v>
      </c>
      <c r="F177" s="322">
        <f>16900*1.265/210</f>
        <v>101.80238095238096</v>
      </c>
      <c r="G177" s="290">
        <f>E177*F177</f>
        <v>5.090119047619048</v>
      </c>
      <c r="H177" s="243"/>
      <c r="I177" s="325" t="s">
        <v>415</v>
      </c>
    </row>
    <row r="178" spans="1:7" ht="14.25" customHeight="1">
      <c r="A178" s="193" t="s">
        <v>22</v>
      </c>
      <c r="B178" s="538" t="s">
        <v>176</v>
      </c>
      <c r="C178" s="538"/>
      <c r="D178" s="193" t="s">
        <v>43</v>
      </c>
      <c r="E178" s="215"/>
      <c r="F178" s="215"/>
      <c r="G178" s="215">
        <f t="shared" si="3"/>
        <v>0</v>
      </c>
    </row>
    <row r="179" spans="1:7" ht="15" customHeight="1">
      <c r="A179" s="193" t="s">
        <v>72</v>
      </c>
      <c r="B179" s="538" t="s">
        <v>209</v>
      </c>
      <c r="C179" s="538"/>
      <c r="D179" s="193" t="s">
        <v>85</v>
      </c>
      <c r="E179" s="215"/>
      <c r="F179" s="215"/>
      <c r="G179" s="215">
        <f t="shared" si="3"/>
        <v>0</v>
      </c>
    </row>
    <row r="180" spans="1:7" ht="15" customHeight="1">
      <c r="A180" s="193"/>
      <c r="B180" s="558" t="s">
        <v>177</v>
      </c>
      <c r="C180" s="559"/>
      <c r="D180" s="193"/>
      <c r="E180" s="193"/>
      <c r="F180" s="193"/>
      <c r="G180" s="196">
        <f>SUM(G170:G179)</f>
        <v>537.1680137844612</v>
      </c>
    </row>
    <row r="181" ht="13.5" customHeight="1">
      <c r="A181" s="176"/>
    </row>
    <row r="182" ht="14.25">
      <c r="A182" s="185" t="s">
        <v>178</v>
      </c>
    </row>
    <row r="183" ht="15" thickBot="1">
      <c r="A183" s="185"/>
    </row>
    <row r="184" spans="1:7" ht="28.5" customHeight="1">
      <c r="A184" s="206" t="s">
        <v>37</v>
      </c>
      <c r="B184" s="548" t="s">
        <v>38</v>
      </c>
      <c r="C184" s="549"/>
      <c r="D184" s="186" t="s">
        <v>39</v>
      </c>
      <c r="E184" s="187" t="s">
        <v>207</v>
      </c>
      <c r="F184" s="187" t="s">
        <v>58</v>
      </c>
      <c r="G184" s="187" t="s">
        <v>59</v>
      </c>
    </row>
    <row r="185" spans="1:7" ht="15" customHeight="1">
      <c r="A185" s="193" t="s">
        <v>9</v>
      </c>
      <c r="B185" s="538" t="s">
        <v>179</v>
      </c>
      <c r="C185" s="538"/>
      <c r="D185" s="193" t="s">
        <v>180</v>
      </c>
      <c r="E185" s="215">
        <v>1</v>
      </c>
      <c r="F185" s="215"/>
      <c r="G185" s="215">
        <f>E185*F185</f>
        <v>0</v>
      </c>
    </row>
    <row r="186" spans="1:7" ht="15" customHeight="1">
      <c r="A186" s="193" t="s">
        <v>45</v>
      </c>
      <c r="B186" s="538" t="s">
        <v>181</v>
      </c>
      <c r="C186" s="538"/>
      <c r="D186" s="193" t="s">
        <v>180</v>
      </c>
      <c r="E186" s="215">
        <v>1</v>
      </c>
      <c r="F186" s="215"/>
      <c r="G186" s="215">
        <f>E186*F186</f>
        <v>0</v>
      </c>
    </row>
    <row r="187" spans="1:7" ht="15" customHeight="1">
      <c r="A187" s="193" t="s">
        <v>14</v>
      </c>
      <c r="B187" s="538" t="s">
        <v>182</v>
      </c>
      <c r="C187" s="538"/>
      <c r="D187" s="193" t="s">
        <v>180</v>
      </c>
      <c r="E187" s="215">
        <v>1</v>
      </c>
      <c r="F187" s="215"/>
      <c r="G187" s="215">
        <f>E187*F187</f>
        <v>0</v>
      </c>
    </row>
    <row r="188" spans="1:7" ht="15" customHeight="1">
      <c r="A188" s="193"/>
      <c r="B188" s="558" t="s">
        <v>183</v>
      </c>
      <c r="C188" s="559"/>
      <c r="D188" s="193"/>
      <c r="E188" s="193"/>
      <c r="F188" s="193"/>
      <c r="G188" s="196">
        <f>SUM(G185:G187)</f>
        <v>0</v>
      </c>
    </row>
    <row r="189" ht="14.25">
      <c r="A189" s="176"/>
    </row>
    <row r="190" ht="14.25">
      <c r="A190" s="176"/>
    </row>
    <row r="191" ht="14.25">
      <c r="A191" s="176" t="s">
        <v>184</v>
      </c>
    </row>
    <row r="192" ht="15" thickBot="1">
      <c r="A192" s="176"/>
    </row>
    <row r="193" spans="1:7" ht="28.5" customHeight="1">
      <c r="A193" s="206" t="s">
        <v>37</v>
      </c>
      <c r="B193" s="548" t="s">
        <v>38</v>
      </c>
      <c r="C193" s="549"/>
      <c r="D193" s="186" t="s">
        <v>39</v>
      </c>
      <c r="E193" s="187" t="s">
        <v>210</v>
      </c>
      <c r="F193" s="229" t="s">
        <v>58</v>
      </c>
      <c r="G193" s="229" t="s">
        <v>59</v>
      </c>
    </row>
    <row r="194" spans="1:7" ht="15" customHeight="1">
      <c r="A194" s="193" t="s">
        <v>9</v>
      </c>
      <c r="B194" s="538" t="s">
        <v>185</v>
      </c>
      <c r="C194" s="538"/>
      <c r="D194" s="193" t="s">
        <v>85</v>
      </c>
      <c r="E194" s="215">
        <v>0.33</v>
      </c>
      <c r="F194" s="230">
        <v>32.6</v>
      </c>
      <c r="G194" s="231">
        <f>E194*F194</f>
        <v>10.758000000000001</v>
      </c>
    </row>
    <row r="195" spans="1:10" ht="14.25" customHeight="1">
      <c r="A195" s="193" t="s">
        <v>45</v>
      </c>
      <c r="B195" s="538" t="s">
        <v>186</v>
      </c>
      <c r="C195" s="538"/>
      <c r="D195" s="193" t="s">
        <v>85</v>
      </c>
      <c r="E195" s="171"/>
      <c r="F195" s="44">
        <f>(1151.55+210.41+5.7+145.58)*1.2</f>
        <v>1815.888</v>
      </c>
      <c r="G195" s="156">
        <f>F195*E194</f>
        <v>599.24304</v>
      </c>
      <c r="H195" s="119"/>
      <c r="I195" s="119"/>
      <c r="J195" s="119"/>
    </row>
    <row r="196" spans="1:10" ht="14.25" customHeight="1">
      <c r="A196" s="193" t="s">
        <v>14</v>
      </c>
      <c r="B196" s="538" t="s">
        <v>187</v>
      </c>
      <c r="C196" s="538"/>
      <c r="D196" s="193" t="s">
        <v>85</v>
      </c>
      <c r="E196" s="171"/>
      <c r="F196" s="171"/>
      <c r="G196" s="171"/>
      <c r="H196" s="119"/>
      <c r="I196" s="119"/>
      <c r="J196" s="119"/>
    </row>
    <row r="197" spans="1:10" ht="14.25">
      <c r="A197" s="193" t="s">
        <v>49</v>
      </c>
      <c r="B197" s="538" t="s">
        <v>188</v>
      </c>
      <c r="C197" s="538"/>
      <c r="D197" s="193" t="s">
        <v>85</v>
      </c>
      <c r="E197" s="171"/>
      <c r="F197" s="171"/>
      <c r="G197" s="171"/>
      <c r="H197" s="119"/>
      <c r="I197" s="119"/>
      <c r="J197" s="119"/>
    </row>
    <row r="198" spans="1:10" ht="15" customHeight="1">
      <c r="A198" s="193" t="s">
        <v>19</v>
      </c>
      <c r="B198" s="538" t="s">
        <v>189</v>
      </c>
      <c r="C198" s="538"/>
      <c r="D198" s="193" t="s">
        <v>85</v>
      </c>
      <c r="E198" s="171"/>
      <c r="F198" s="171"/>
      <c r="G198" s="171"/>
      <c r="H198" s="119"/>
      <c r="I198" s="119"/>
      <c r="J198" s="119"/>
    </row>
    <row r="199" spans="1:10" ht="15" customHeight="1">
      <c r="A199" s="193" t="s">
        <v>54</v>
      </c>
      <c r="B199" s="538" t="s">
        <v>190</v>
      </c>
      <c r="C199" s="538"/>
      <c r="D199" s="193" t="s">
        <v>101</v>
      </c>
      <c r="E199" s="241">
        <f>J199/F199</f>
        <v>11.9293845221133</v>
      </c>
      <c r="F199" s="43">
        <v>1.68</v>
      </c>
      <c r="G199" s="240">
        <f>E199*F199</f>
        <v>20.041365997150344</v>
      </c>
      <c r="H199" s="54"/>
      <c r="I199" s="448">
        <f>1288300*0.4/8485.23</f>
        <v>60.7314121125768</v>
      </c>
      <c r="J199" s="448">
        <f>I199*E194</f>
        <v>20.041365997150344</v>
      </c>
    </row>
    <row r="200" spans="1:10" ht="15" customHeight="1">
      <c r="A200" s="193" t="s">
        <v>22</v>
      </c>
      <c r="B200" s="538" t="s">
        <v>191</v>
      </c>
      <c r="C200" s="538"/>
      <c r="D200" s="193" t="s">
        <v>192</v>
      </c>
      <c r="E200" s="446">
        <f>J200/F200</f>
        <v>0.06638479729556314</v>
      </c>
      <c r="F200" s="43">
        <f>987*1.2</f>
        <v>1184.3999999999999</v>
      </c>
      <c r="G200" s="240">
        <f>E200*F200</f>
        <v>78.62615391686498</v>
      </c>
      <c r="H200" s="54"/>
      <c r="I200" s="448">
        <f>2021700/8485.23</f>
        <v>238.26107247534836</v>
      </c>
      <c r="J200" s="448">
        <f>I200*E194</f>
        <v>78.62615391686496</v>
      </c>
    </row>
    <row r="201" spans="1:10" ht="15" customHeight="1">
      <c r="A201" s="193" t="s">
        <v>72</v>
      </c>
      <c r="B201" s="538" t="s">
        <v>193</v>
      </c>
      <c r="C201" s="538"/>
      <c r="D201" s="193" t="s">
        <v>85</v>
      </c>
      <c r="E201" s="447"/>
      <c r="F201" s="241">
        <f>(229000+16300)/8485.23</f>
        <v>28.909057267746427</v>
      </c>
      <c r="G201" s="240">
        <f>F201*E194</f>
        <v>9.539988898356322</v>
      </c>
      <c r="H201" s="54"/>
      <c r="I201" s="54"/>
      <c r="J201" s="54"/>
    </row>
    <row r="202" spans="1:10" ht="14.25" customHeight="1">
      <c r="A202" s="193" t="s">
        <v>26</v>
      </c>
      <c r="B202" s="538" t="s">
        <v>194</v>
      </c>
      <c r="C202" s="538"/>
      <c r="D202" s="193" t="s">
        <v>85</v>
      </c>
      <c r="E202" s="447"/>
      <c r="F202" s="43">
        <v>2693.4</v>
      </c>
      <c r="G202" s="240">
        <f>F202*E194</f>
        <v>888.8220000000001</v>
      </c>
      <c r="H202" s="54"/>
      <c r="I202" s="54"/>
      <c r="J202" s="54"/>
    </row>
    <row r="203" spans="1:10" ht="15" customHeight="1">
      <c r="A203" s="193" t="s">
        <v>31</v>
      </c>
      <c r="B203" s="538" t="s">
        <v>195</v>
      </c>
      <c r="C203" s="538"/>
      <c r="D203" s="193" t="s">
        <v>85</v>
      </c>
      <c r="E203" s="447"/>
      <c r="F203" s="43">
        <v>300.6</v>
      </c>
      <c r="G203" s="240">
        <f>F203*E194</f>
        <v>99.19800000000001</v>
      </c>
      <c r="H203" s="54"/>
      <c r="I203" s="54"/>
      <c r="J203" s="54"/>
    </row>
    <row r="204" spans="1:10" ht="15" customHeight="1">
      <c r="A204" s="193" t="s">
        <v>79</v>
      </c>
      <c r="B204" s="538" t="s">
        <v>196</v>
      </c>
      <c r="C204" s="538"/>
      <c r="D204" s="193" t="s">
        <v>85</v>
      </c>
      <c r="E204" s="447"/>
      <c r="F204" s="43">
        <v>1242.8</v>
      </c>
      <c r="G204" s="240">
        <f>F204*E194</f>
        <v>410.124</v>
      </c>
      <c r="H204" s="54"/>
      <c r="I204" s="54"/>
      <c r="J204" s="54"/>
    </row>
    <row r="205" ht="14.25">
      <c r="A205" s="176"/>
    </row>
    <row r="206" ht="14.25">
      <c r="A206" s="176" t="s">
        <v>197</v>
      </c>
    </row>
    <row r="207" ht="15" thickBot="1">
      <c r="A207" s="185"/>
    </row>
    <row r="208" spans="1:7" ht="14.25" customHeight="1">
      <c r="A208" s="542" t="s">
        <v>37</v>
      </c>
      <c r="B208" s="548" t="s">
        <v>38</v>
      </c>
      <c r="C208" s="549"/>
      <c r="D208" s="186" t="s">
        <v>198</v>
      </c>
      <c r="E208" s="548" t="s">
        <v>59</v>
      </c>
      <c r="F208" s="562"/>
      <c r="G208" s="549"/>
    </row>
    <row r="209" spans="1:7" ht="14.25">
      <c r="A209" s="547"/>
      <c r="B209" s="550"/>
      <c r="C209" s="551"/>
      <c r="D209" s="227" t="s">
        <v>199</v>
      </c>
      <c r="E209" s="550"/>
      <c r="F209" s="563"/>
      <c r="G209" s="551"/>
    </row>
    <row r="210" spans="1:7" ht="15" customHeight="1">
      <c r="A210" s="193" t="s">
        <v>9</v>
      </c>
      <c r="B210" s="538" t="s">
        <v>200</v>
      </c>
      <c r="C210" s="538"/>
      <c r="D210" s="193" t="s">
        <v>85</v>
      </c>
      <c r="E210" s="564">
        <f>G44+G57+G61+G62+G95+G116+G128+G141+G156+G164+G180+G188</f>
        <v>3534.822730345645</v>
      </c>
      <c r="F210" s="565"/>
      <c r="G210" s="565"/>
    </row>
    <row r="211" spans="1:7" ht="15" customHeight="1">
      <c r="A211" s="193" t="s">
        <v>45</v>
      </c>
      <c r="B211" s="538" t="s">
        <v>201</v>
      </c>
      <c r="C211" s="538"/>
      <c r="D211" s="193" t="s">
        <v>85</v>
      </c>
      <c r="E211" s="564">
        <f>G194+G195+G196+G197+G198+G199+G200+G201+G202+G203+G204</f>
        <v>2116.352548812372</v>
      </c>
      <c r="F211" s="564"/>
      <c r="G211" s="564"/>
    </row>
    <row r="212" spans="1:7" ht="14.25">
      <c r="A212" s="193" t="s">
        <v>14</v>
      </c>
      <c r="B212" s="538" t="s">
        <v>202</v>
      </c>
      <c r="C212" s="538"/>
      <c r="D212" s="193" t="s">
        <v>85</v>
      </c>
      <c r="E212" s="564">
        <f>E210+E211</f>
        <v>5651.175279158017</v>
      </c>
      <c r="F212" s="564"/>
      <c r="G212" s="564"/>
    </row>
    <row r="213" spans="1:7" ht="15" customHeight="1">
      <c r="A213" s="193">
        <v>4</v>
      </c>
      <c r="B213" s="538" t="s">
        <v>203</v>
      </c>
      <c r="C213" s="538"/>
      <c r="D213" s="193" t="s">
        <v>85</v>
      </c>
      <c r="E213" s="561"/>
      <c r="F213" s="561"/>
      <c r="G213" s="561"/>
    </row>
    <row r="214" spans="1:7" ht="15" customHeight="1">
      <c r="A214" s="193" t="s">
        <v>19</v>
      </c>
      <c r="B214" s="538" t="s">
        <v>204</v>
      </c>
      <c r="C214" s="538"/>
      <c r="D214" s="193" t="s">
        <v>85</v>
      </c>
      <c r="E214" s="561">
        <f>E212-E213</f>
        <v>5651.175279158017</v>
      </c>
      <c r="F214" s="561"/>
      <c r="G214" s="561"/>
    </row>
    <row r="215" ht="14.25">
      <c r="A215" s="205"/>
    </row>
    <row r="216" ht="14.25">
      <c r="A216" s="205"/>
    </row>
    <row r="217" spans="2:3" ht="14.25">
      <c r="B217" s="232" t="s">
        <v>63</v>
      </c>
      <c r="C217" s="233" t="s">
        <v>248</v>
      </c>
    </row>
    <row r="218" ht="14.25">
      <c r="A218" s="205"/>
    </row>
    <row r="219" ht="14.25">
      <c r="B219" s="232" t="s">
        <v>206</v>
      </c>
    </row>
  </sheetData>
  <sheetProtection/>
  <mergeCells count="165">
    <mergeCell ref="A7:G7"/>
    <mergeCell ref="A8:G8"/>
    <mergeCell ref="A9:G9"/>
    <mergeCell ref="B27:G27"/>
    <mergeCell ref="D24:E24"/>
    <mergeCell ref="F16:G16"/>
    <mergeCell ref="F18:G18"/>
    <mergeCell ref="B65:C65"/>
    <mergeCell ref="B60:C60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14:G214"/>
    <mergeCell ref="B208:C209"/>
    <mergeCell ref="B210:C210"/>
    <mergeCell ref="B211:C211"/>
    <mergeCell ref="B212:C212"/>
    <mergeCell ref="B213:C213"/>
    <mergeCell ref="B214:C214"/>
    <mergeCell ref="E210:G210"/>
    <mergeCell ref="E211:G211"/>
    <mergeCell ref="E212:G212"/>
    <mergeCell ref="B201:C201"/>
    <mergeCell ref="E213:G213"/>
    <mergeCell ref="B202:C202"/>
    <mergeCell ref="B203:C203"/>
    <mergeCell ref="B204:C204"/>
    <mergeCell ref="E208:G209"/>
    <mergeCell ref="B195:C195"/>
    <mergeCell ref="B196:C196"/>
    <mergeCell ref="B197:C197"/>
    <mergeCell ref="B198:C198"/>
    <mergeCell ref="B199:C199"/>
    <mergeCell ref="B200:C200"/>
    <mergeCell ref="B163:C163"/>
    <mergeCell ref="B164:C164"/>
    <mergeCell ref="B168:C168"/>
    <mergeCell ref="B170:C170"/>
    <mergeCell ref="B184:C184"/>
    <mergeCell ref="B193:C193"/>
    <mergeCell ref="B188:C188"/>
    <mergeCell ref="B177:C177"/>
    <mergeCell ref="B180:C180"/>
    <mergeCell ref="B178:C178"/>
    <mergeCell ref="B179:C179"/>
    <mergeCell ref="B185:C185"/>
    <mergeCell ref="B186:C186"/>
    <mergeCell ref="B194:C194"/>
    <mergeCell ref="B172:C172"/>
    <mergeCell ref="B187:C187"/>
    <mergeCell ref="B156:C156"/>
    <mergeCell ref="B155:C155"/>
    <mergeCell ref="B154:C154"/>
    <mergeCell ref="B171:C171"/>
    <mergeCell ref="B174:C174"/>
    <mergeCell ref="B175:C175"/>
    <mergeCell ref="B176:C176"/>
    <mergeCell ref="B173:C173"/>
    <mergeCell ref="B169:C169"/>
    <mergeCell ref="B95:C95"/>
    <mergeCell ref="B87:C87"/>
    <mergeCell ref="B88:C88"/>
    <mergeCell ref="B147:C147"/>
    <mergeCell ref="B146:C146"/>
    <mergeCell ref="B137:C137"/>
    <mergeCell ref="B140:C140"/>
    <mergeCell ref="B116:C116"/>
    <mergeCell ref="B128:C128"/>
    <mergeCell ref="B72:C72"/>
    <mergeCell ref="B73:C73"/>
    <mergeCell ref="B74:C74"/>
    <mergeCell ref="B75:C75"/>
    <mergeCell ref="B76:C76"/>
    <mergeCell ref="B89:C89"/>
    <mergeCell ref="B153:C153"/>
    <mergeCell ref="A80:C80"/>
    <mergeCell ref="A81:C81"/>
    <mergeCell ref="B152:C152"/>
    <mergeCell ref="B151:C151"/>
    <mergeCell ref="B148:C148"/>
    <mergeCell ref="B149:C149"/>
    <mergeCell ref="B150:C150"/>
    <mergeCell ref="B92:C92"/>
    <mergeCell ref="B141:C141"/>
    <mergeCell ref="D134:G134"/>
    <mergeCell ref="B84:C84"/>
    <mergeCell ref="B82:C82"/>
    <mergeCell ref="B83:C83"/>
    <mergeCell ref="A85:C85"/>
    <mergeCell ref="A86:C86"/>
    <mergeCell ref="A91:C91"/>
    <mergeCell ref="B103:C103"/>
    <mergeCell ref="B104:C104"/>
    <mergeCell ref="B94:C94"/>
    <mergeCell ref="A47:A48"/>
    <mergeCell ref="D133:G133"/>
    <mergeCell ref="F47:F48"/>
    <mergeCell ref="G47:G48"/>
    <mergeCell ref="B78:C78"/>
    <mergeCell ref="B79:C79"/>
    <mergeCell ref="B68:C68"/>
    <mergeCell ref="B69:C69"/>
    <mergeCell ref="A67:C67"/>
    <mergeCell ref="A66:C66"/>
    <mergeCell ref="A208:A209"/>
    <mergeCell ref="B122:C122"/>
    <mergeCell ref="B123:C123"/>
    <mergeCell ref="B124:C124"/>
    <mergeCell ref="B125:C125"/>
    <mergeCell ref="B126:C126"/>
    <mergeCell ref="B139:C139"/>
    <mergeCell ref="A160:A161"/>
    <mergeCell ref="B160:C161"/>
    <mergeCell ref="B162:C162"/>
    <mergeCell ref="A33:A34"/>
    <mergeCell ref="B44:C44"/>
    <mergeCell ref="B61:C61"/>
    <mergeCell ref="B62:C62"/>
    <mergeCell ref="A40:A43"/>
    <mergeCell ref="B36:C36"/>
    <mergeCell ref="B37:C37"/>
    <mergeCell ref="B38:C38"/>
    <mergeCell ref="B39:C39"/>
    <mergeCell ref="B40:C40"/>
    <mergeCell ref="B70:C70"/>
    <mergeCell ref="B71:C71"/>
    <mergeCell ref="B77:C77"/>
    <mergeCell ref="B108:C108"/>
    <mergeCell ref="B93:C93"/>
    <mergeCell ref="B100:C100"/>
    <mergeCell ref="B101:C101"/>
    <mergeCell ref="B102:C102"/>
    <mergeCell ref="B99:C99"/>
    <mergeCell ref="B105:C105"/>
    <mergeCell ref="B112:C112"/>
    <mergeCell ref="B113:C113"/>
    <mergeCell ref="B114:C114"/>
    <mergeCell ref="B115:C115"/>
    <mergeCell ref="B106:C106"/>
    <mergeCell ref="B107:C107"/>
    <mergeCell ref="B110:C110"/>
    <mergeCell ref="B111:C111"/>
    <mergeCell ref="B109:C109"/>
    <mergeCell ref="B135:C135"/>
    <mergeCell ref="B136:C136"/>
    <mergeCell ref="B138:C138"/>
    <mergeCell ref="B121:C121"/>
    <mergeCell ref="B132:C132"/>
    <mergeCell ref="B133:C133"/>
    <mergeCell ref="B134:C134"/>
    <mergeCell ref="B127:C127"/>
  </mergeCells>
  <printOptions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8"/>
  <sheetViews>
    <sheetView zoomScalePageLayoutView="0" workbookViewId="0" topLeftCell="A186">
      <selection activeCell="C217" sqref="C217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253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214</v>
      </c>
      <c r="D18" s="596" t="s">
        <v>17</v>
      </c>
      <c r="E18" s="597"/>
      <c r="F18" s="596" t="s">
        <v>218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70">
        <v>22</v>
      </c>
      <c r="D20" s="596" t="s">
        <v>21</v>
      </c>
      <c r="E20" s="597"/>
      <c r="F20" s="596" t="s">
        <v>252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254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255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562</v>
      </c>
      <c r="D26" s="592"/>
      <c r="E26" s="592"/>
      <c r="F26" s="592"/>
      <c r="G26" s="593"/>
    </row>
    <row r="27" spans="1:7" ht="15" thickBot="1">
      <c r="A27" s="75"/>
      <c r="B27" s="591" t="s">
        <v>563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266</v>
      </c>
      <c r="C36" s="613"/>
      <c r="D36" s="84" t="s">
        <v>43</v>
      </c>
      <c r="E36" s="85">
        <v>16</v>
      </c>
      <c r="F36" s="86">
        <f>F50/22</f>
        <v>1.2675480441597384</v>
      </c>
      <c r="G36" s="85">
        <f aca="true" t="shared" si="0" ref="G36:G43">E36*F36</f>
        <v>20.280768706555815</v>
      </c>
    </row>
    <row r="37" spans="1:7" ht="15" customHeight="1">
      <c r="A37" s="84" t="s">
        <v>45</v>
      </c>
      <c r="B37" s="613" t="s">
        <v>267</v>
      </c>
      <c r="C37" s="613"/>
      <c r="D37" s="84" t="s">
        <v>43</v>
      </c>
      <c r="E37" s="84">
        <v>48</v>
      </c>
      <c r="F37" s="86">
        <f>F50/22</f>
        <v>1.2675480441597384</v>
      </c>
      <c r="G37" s="85">
        <f t="shared" si="0"/>
        <v>60.84230611966744</v>
      </c>
    </row>
    <row r="38" spans="1:7" ht="15" customHeight="1">
      <c r="A38" s="84" t="s">
        <v>14</v>
      </c>
      <c r="B38" s="613" t="s">
        <v>268</v>
      </c>
      <c r="C38" s="613"/>
      <c r="D38" s="84" t="s">
        <v>43</v>
      </c>
      <c r="E38" s="84">
        <v>8</v>
      </c>
      <c r="F38" s="86">
        <f>F50/22</f>
        <v>1.2675480441597384</v>
      </c>
      <c r="G38" s="85">
        <f t="shared" si="0"/>
        <v>10.140384353277907</v>
      </c>
    </row>
    <row r="39" spans="1:7" ht="15" customHeight="1">
      <c r="A39" s="84" t="s">
        <v>49</v>
      </c>
      <c r="B39" s="613" t="s">
        <v>269</v>
      </c>
      <c r="C39" s="613"/>
      <c r="D39" s="84" t="s">
        <v>43</v>
      </c>
      <c r="E39" s="84">
        <v>16</v>
      </c>
      <c r="F39" s="86">
        <f>F50/22</f>
        <v>1.2675480441597384</v>
      </c>
      <c r="G39" s="85">
        <f t="shared" si="0"/>
        <v>20.280768706555815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52</v>
      </c>
      <c r="C41" s="608"/>
      <c r="D41" s="87"/>
      <c r="E41" s="90"/>
      <c r="F41" s="89"/>
      <c r="G41" s="84">
        <f t="shared" si="0"/>
        <v>0</v>
      </c>
    </row>
    <row r="42" spans="1:7" ht="15.75" customHeight="1">
      <c r="A42" s="627"/>
      <c r="B42" s="607" t="s">
        <v>53</v>
      </c>
      <c r="C42" s="608"/>
      <c r="D42" s="87"/>
      <c r="E42" s="90"/>
      <c r="F42" s="89"/>
      <c r="G42" s="84">
        <f t="shared" si="0"/>
        <v>0</v>
      </c>
    </row>
    <row r="43" spans="1:7" ht="14.25">
      <c r="A43" s="627"/>
      <c r="B43" s="609" t="s">
        <v>53</v>
      </c>
      <c r="C43" s="610"/>
      <c r="D43" s="87"/>
      <c r="E43" s="91"/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111.54422788605699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2</v>
      </c>
      <c r="F49" s="86">
        <f>6600*12/2001</f>
        <v>39.58020989505248</v>
      </c>
      <c r="G49" s="85">
        <f aca="true" t="shared" si="1" ref="G49:G55">E49*F49</f>
        <v>79.16041979010495</v>
      </c>
    </row>
    <row r="50" spans="1:7" ht="15" customHeight="1">
      <c r="A50" s="84">
        <v>2</v>
      </c>
      <c r="B50" s="93" t="s">
        <v>63</v>
      </c>
      <c r="C50" s="93" t="s">
        <v>259</v>
      </c>
      <c r="D50" s="84" t="s">
        <v>43</v>
      </c>
      <c r="E50" s="84">
        <v>16</v>
      </c>
      <c r="F50" s="86">
        <f>4650*12/2001</f>
        <v>27.886056971514243</v>
      </c>
      <c r="G50" s="85">
        <f t="shared" si="1"/>
        <v>446.1769115442279</v>
      </c>
    </row>
    <row r="51" spans="1:7" ht="15" customHeight="1">
      <c r="A51" s="84">
        <v>3</v>
      </c>
      <c r="B51" s="93" t="s">
        <v>65</v>
      </c>
      <c r="C51" s="93" t="s">
        <v>259</v>
      </c>
      <c r="D51" s="84" t="s">
        <v>43</v>
      </c>
      <c r="E51" s="84">
        <v>8</v>
      </c>
      <c r="F51" s="86">
        <f>4650*12/2001</f>
        <v>27.886056971514243</v>
      </c>
      <c r="G51" s="85">
        <f t="shared" si="1"/>
        <v>223.08845577211395</v>
      </c>
    </row>
    <row r="52" spans="1:9" ht="15" customHeight="1">
      <c r="A52" s="84">
        <v>4</v>
      </c>
      <c r="B52" s="93" t="s">
        <v>67</v>
      </c>
      <c r="C52" s="93" t="s">
        <v>395</v>
      </c>
      <c r="D52" s="84" t="s">
        <v>43</v>
      </c>
      <c r="E52" s="94" t="s">
        <v>240</v>
      </c>
      <c r="F52" s="86">
        <f>4386*12/2010</f>
        <v>26.18507462686567</v>
      </c>
      <c r="G52" s="85">
        <f t="shared" si="1"/>
        <v>209.48059701492537</v>
      </c>
      <c r="I52" s="440" t="s">
        <v>537</v>
      </c>
    </row>
    <row r="53" spans="1:9" ht="15" customHeight="1">
      <c r="A53" s="84">
        <v>5</v>
      </c>
      <c r="B53" s="93" t="s">
        <v>70</v>
      </c>
      <c r="C53" s="93" t="s">
        <v>259</v>
      </c>
      <c r="D53" s="84" t="s">
        <v>43</v>
      </c>
      <c r="E53" s="84">
        <v>12</v>
      </c>
      <c r="F53" s="86">
        <f>4650*12/2001</f>
        <v>27.886056971514243</v>
      </c>
      <c r="G53" s="85">
        <f t="shared" si="1"/>
        <v>334.6326836581709</v>
      </c>
      <c r="I53" s="234" t="s">
        <v>271</v>
      </c>
    </row>
    <row r="54" spans="1:7" ht="15" customHeight="1">
      <c r="A54" s="84">
        <v>6</v>
      </c>
      <c r="B54" s="93" t="s">
        <v>80</v>
      </c>
      <c r="C54" s="93" t="s">
        <v>262</v>
      </c>
      <c r="D54" s="84" t="s">
        <v>43</v>
      </c>
      <c r="E54" s="84">
        <v>15</v>
      </c>
      <c r="F54" s="86">
        <f>3160*12/2001</f>
        <v>18.950524737631184</v>
      </c>
      <c r="G54" s="85">
        <f t="shared" si="1"/>
        <v>284.25787106446774</v>
      </c>
    </row>
    <row r="55" spans="1:9" ht="15" customHeight="1">
      <c r="A55" s="84">
        <v>7</v>
      </c>
      <c r="B55" s="93" t="s">
        <v>263</v>
      </c>
      <c r="C55" s="93" t="s">
        <v>395</v>
      </c>
      <c r="D55" s="84" t="s">
        <v>43</v>
      </c>
      <c r="E55" s="84">
        <v>8</v>
      </c>
      <c r="F55" s="86">
        <f>3061*12/2001</f>
        <v>18.356821589205396</v>
      </c>
      <c r="G55" s="85">
        <f t="shared" si="1"/>
        <v>146.85457271364317</v>
      </c>
      <c r="I55" s="234" t="s">
        <v>411</v>
      </c>
    </row>
    <row r="56" spans="1:9" ht="15" customHeight="1">
      <c r="A56" s="84">
        <v>8</v>
      </c>
      <c r="B56" s="93" t="s">
        <v>425</v>
      </c>
      <c r="C56" s="93" t="s">
        <v>543</v>
      </c>
      <c r="D56" s="84" t="s">
        <v>43</v>
      </c>
      <c r="E56" s="94" t="s">
        <v>364</v>
      </c>
      <c r="F56" s="86">
        <f>(4620+4200)*12/4002</f>
        <v>26.44677661169415</v>
      </c>
      <c r="G56" s="85">
        <f>E56*F56</f>
        <v>423.1484257871064</v>
      </c>
      <c r="I56" s="63"/>
    </row>
    <row r="57" spans="1:7" ht="15" customHeight="1">
      <c r="A57" s="84"/>
      <c r="B57" s="93" t="s">
        <v>82</v>
      </c>
      <c r="C57" s="93"/>
      <c r="D57" s="84"/>
      <c r="E57" s="84"/>
      <c r="F57" s="84"/>
      <c r="G57" s="85">
        <f>SUM(G49:G56)</f>
        <v>2146.7999373447606</v>
      </c>
    </row>
    <row r="58" ht="15" customHeight="1">
      <c r="A58" s="95"/>
    </row>
    <row r="59" ht="15" thickBot="1">
      <c r="A59" s="76" t="s">
        <v>83</v>
      </c>
    </row>
    <row r="60" spans="1:7" ht="28.5" customHeight="1">
      <c r="A60" s="96" t="s">
        <v>37</v>
      </c>
      <c r="B60" s="598" t="s">
        <v>38</v>
      </c>
      <c r="C60" s="599"/>
      <c r="D60" s="78" t="s">
        <v>39</v>
      </c>
      <c r="E60" s="78" t="s">
        <v>207</v>
      </c>
      <c r="F60" s="78" t="s">
        <v>58</v>
      </c>
      <c r="G60" s="78" t="s">
        <v>59</v>
      </c>
    </row>
    <row r="61" spans="1:7" ht="15" customHeight="1">
      <c r="A61" s="84" t="s">
        <v>9</v>
      </c>
      <c r="B61" s="613" t="s">
        <v>84</v>
      </c>
      <c r="C61" s="613"/>
      <c r="D61" s="84" t="s">
        <v>85</v>
      </c>
      <c r="E61" s="97"/>
      <c r="F61" s="97"/>
      <c r="G61" s="85">
        <f>(G44+G57)*0.23</f>
        <v>519.419158003088</v>
      </c>
    </row>
    <row r="62" spans="1:7" ht="15" customHeight="1">
      <c r="A62" s="84" t="s">
        <v>45</v>
      </c>
      <c r="B62" s="613" t="s">
        <v>539</v>
      </c>
      <c r="C62" s="613"/>
      <c r="D62" s="84" t="s">
        <v>85</v>
      </c>
      <c r="E62" s="97"/>
      <c r="F62" s="97"/>
      <c r="G62" s="85">
        <f>(G44+G57)*0.04</f>
        <v>90.3337666092327</v>
      </c>
    </row>
    <row r="63" ht="18" customHeight="1">
      <c r="A63" s="95"/>
    </row>
    <row r="64" ht="15" thickBot="1">
      <c r="A64" s="76" t="s">
        <v>87</v>
      </c>
    </row>
    <row r="65" spans="1:7" ht="27" customHeight="1" thickBot="1">
      <c r="A65" s="78" t="s">
        <v>37</v>
      </c>
      <c r="B65" s="598" t="s">
        <v>38</v>
      </c>
      <c r="C65" s="599"/>
      <c r="D65" s="77" t="s">
        <v>39</v>
      </c>
      <c r="E65" s="96" t="s">
        <v>207</v>
      </c>
      <c r="F65" s="78" t="s">
        <v>58</v>
      </c>
      <c r="G65" s="78" t="s">
        <v>59</v>
      </c>
    </row>
    <row r="66" spans="1:7" ht="15" customHeight="1">
      <c r="A66" s="625"/>
      <c r="B66" s="625"/>
      <c r="C66" s="625"/>
      <c r="D66" s="98"/>
      <c r="E66" s="98"/>
      <c r="F66" s="99"/>
      <c r="G66" s="99"/>
    </row>
    <row r="67" spans="1:7" ht="14.25">
      <c r="A67" s="620" t="s">
        <v>88</v>
      </c>
      <c r="B67" s="620"/>
      <c r="C67" s="620"/>
      <c r="D67" s="87"/>
      <c r="E67" s="87"/>
      <c r="F67" s="89"/>
      <c r="G67" s="89"/>
    </row>
    <row r="68" spans="1:7" ht="15" customHeight="1">
      <c r="A68" s="100" t="s">
        <v>9</v>
      </c>
      <c r="B68" s="613" t="s">
        <v>313</v>
      </c>
      <c r="C68" s="613"/>
      <c r="D68" s="84"/>
      <c r="E68" s="84"/>
      <c r="F68" s="84"/>
      <c r="G68" s="84"/>
    </row>
    <row r="69" spans="1:7" ht="15" customHeight="1">
      <c r="A69" s="100" t="s">
        <v>45</v>
      </c>
      <c r="B69" s="613" t="s">
        <v>90</v>
      </c>
      <c r="C69" s="613"/>
      <c r="D69" s="84" t="s">
        <v>91</v>
      </c>
      <c r="E69" s="84"/>
      <c r="F69" s="84"/>
      <c r="G69" s="84">
        <f>E69*F69</f>
        <v>0</v>
      </c>
    </row>
    <row r="70" spans="1:7" ht="15" customHeight="1">
      <c r="A70" s="100" t="s">
        <v>14</v>
      </c>
      <c r="B70" s="613" t="s">
        <v>92</v>
      </c>
      <c r="C70" s="613"/>
      <c r="D70" s="84" t="s">
        <v>91</v>
      </c>
      <c r="E70" s="84"/>
      <c r="F70" s="84"/>
      <c r="G70" s="84">
        <f>E70*F70</f>
        <v>0</v>
      </c>
    </row>
    <row r="71" spans="1:7" ht="15" customHeight="1">
      <c r="A71" s="100" t="s">
        <v>49</v>
      </c>
      <c r="B71" s="613" t="s">
        <v>93</v>
      </c>
      <c r="C71" s="613"/>
      <c r="D71" s="84" t="s">
        <v>91</v>
      </c>
      <c r="E71" s="84"/>
      <c r="F71" s="84"/>
      <c r="G71" s="84">
        <f>E71*F71</f>
        <v>0</v>
      </c>
    </row>
    <row r="72" spans="1:7" ht="15" customHeight="1">
      <c r="A72" s="100" t="s">
        <v>19</v>
      </c>
      <c r="B72" s="613" t="s">
        <v>94</v>
      </c>
      <c r="C72" s="613"/>
      <c r="D72" s="84"/>
      <c r="E72" s="84"/>
      <c r="F72" s="84"/>
      <c r="G72" s="84"/>
    </row>
    <row r="73" spans="1:7" ht="15" customHeight="1">
      <c r="A73" s="100"/>
      <c r="B73" s="619" t="s">
        <v>95</v>
      </c>
      <c r="C73" s="619"/>
      <c r="D73" s="101" t="s">
        <v>96</v>
      </c>
      <c r="E73" s="101"/>
      <c r="F73" s="101"/>
      <c r="G73" s="101"/>
    </row>
    <row r="74" spans="1:7" ht="15" customHeight="1">
      <c r="A74" s="100"/>
      <c r="B74" s="619" t="s">
        <v>97</v>
      </c>
      <c r="C74" s="619"/>
      <c r="D74" s="101" t="s">
        <v>91</v>
      </c>
      <c r="E74" s="101"/>
      <c r="F74" s="101"/>
      <c r="G74" s="101"/>
    </row>
    <row r="75" spans="1:7" ht="15" customHeight="1">
      <c r="A75" s="100"/>
      <c r="B75" s="619" t="s">
        <v>98</v>
      </c>
      <c r="C75" s="619"/>
      <c r="D75" s="101" t="s">
        <v>85</v>
      </c>
      <c r="E75" s="101"/>
      <c r="F75" s="101"/>
      <c r="G75" s="42">
        <f>E73*E74*F75</f>
        <v>0</v>
      </c>
    </row>
    <row r="76" spans="1:7" ht="15" customHeight="1">
      <c r="A76" s="100" t="s">
        <v>54</v>
      </c>
      <c r="B76" s="613" t="s">
        <v>99</v>
      </c>
      <c r="C76" s="613"/>
      <c r="D76" s="101"/>
      <c r="E76" s="101"/>
      <c r="F76" s="101"/>
      <c r="G76" s="101"/>
    </row>
    <row r="77" spans="1:7" ht="15" customHeight="1">
      <c r="A77" s="100"/>
      <c r="B77" s="619" t="s">
        <v>97</v>
      </c>
      <c r="C77" s="619"/>
      <c r="D77" s="101" t="s">
        <v>91</v>
      </c>
      <c r="E77" s="101"/>
      <c r="F77" s="101"/>
      <c r="G77" s="101"/>
    </row>
    <row r="78" spans="1:7" ht="15" customHeight="1">
      <c r="A78" s="100"/>
      <c r="B78" s="619" t="s">
        <v>100</v>
      </c>
      <c r="C78" s="619"/>
      <c r="D78" s="101" t="s">
        <v>101</v>
      </c>
      <c r="E78" s="43"/>
      <c r="F78" s="41"/>
      <c r="G78" s="42">
        <f>E77*E78*F78</f>
        <v>0</v>
      </c>
    </row>
    <row r="79" spans="1:7" ht="15" customHeight="1">
      <c r="A79" s="100"/>
      <c r="B79" s="619" t="s">
        <v>102</v>
      </c>
      <c r="C79" s="619"/>
      <c r="D79" s="101" t="s">
        <v>91</v>
      </c>
      <c r="E79" s="41"/>
      <c r="F79" s="44"/>
      <c r="G79" s="42">
        <f>E77*F79</f>
        <v>0</v>
      </c>
    </row>
    <row r="80" spans="1:7" ht="14.25" customHeight="1">
      <c r="A80" s="620"/>
      <c r="B80" s="620"/>
      <c r="C80" s="620"/>
      <c r="D80" s="102"/>
      <c r="E80" s="102"/>
      <c r="F80" s="102"/>
      <c r="G80" s="102"/>
    </row>
    <row r="81" spans="1:7" ht="14.25">
      <c r="A81" s="620" t="s">
        <v>103</v>
      </c>
      <c r="B81" s="620"/>
      <c r="C81" s="620"/>
      <c r="D81" s="102"/>
      <c r="E81" s="102"/>
      <c r="F81" s="102"/>
      <c r="G81" s="102"/>
    </row>
    <row r="82" spans="1:7" ht="15" customHeight="1">
      <c r="A82" s="100"/>
      <c r="B82" s="619" t="s">
        <v>97</v>
      </c>
      <c r="C82" s="619"/>
      <c r="D82" s="101" t="s">
        <v>91</v>
      </c>
      <c r="E82" s="101">
        <v>18</v>
      </c>
      <c r="F82" s="101"/>
      <c r="G82" s="101"/>
    </row>
    <row r="83" spans="1:7" ht="15" customHeight="1">
      <c r="A83" s="100"/>
      <c r="B83" s="619" t="s">
        <v>104</v>
      </c>
      <c r="C83" s="619"/>
      <c r="D83" s="101" t="s">
        <v>101</v>
      </c>
      <c r="E83" s="101">
        <v>1.35</v>
      </c>
      <c r="F83" s="101">
        <v>1.68</v>
      </c>
      <c r="G83" s="103">
        <f>E82*E83*F83</f>
        <v>40.824</v>
      </c>
    </row>
    <row r="84" spans="1:7" ht="14.25" customHeight="1">
      <c r="A84" s="100"/>
      <c r="B84" s="619" t="s">
        <v>105</v>
      </c>
      <c r="C84" s="619"/>
      <c r="D84" s="101" t="s">
        <v>85</v>
      </c>
      <c r="E84" s="101"/>
      <c r="F84" s="101">
        <v>11.8</v>
      </c>
      <c r="G84" s="103">
        <f>E82*F84</f>
        <v>212.4</v>
      </c>
    </row>
    <row r="85" spans="1:7" ht="15" customHeight="1">
      <c r="A85" s="620"/>
      <c r="B85" s="620"/>
      <c r="C85" s="620"/>
      <c r="D85" s="102"/>
      <c r="E85" s="102"/>
      <c r="F85" s="102"/>
      <c r="G85" s="102"/>
    </row>
    <row r="86" spans="1:7" ht="14.25">
      <c r="A86" s="620" t="s">
        <v>106</v>
      </c>
      <c r="B86" s="620"/>
      <c r="C86" s="620"/>
      <c r="D86" s="102"/>
      <c r="E86" s="102"/>
      <c r="F86" s="102"/>
      <c r="G86" s="102"/>
    </row>
    <row r="87" spans="1:7" ht="15" customHeight="1">
      <c r="A87" s="100"/>
      <c r="B87" s="619" t="s">
        <v>97</v>
      </c>
      <c r="C87" s="619"/>
      <c r="D87" s="101" t="s">
        <v>91</v>
      </c>
      <c r="E87" s="101">
        <v>18</v>
      </c>
      <c r="F87" s="101"/>
      <c r="G87" s="101"/>
    </row>
    <row r="88" spans="1:7" ht="15" customHeight="1">
      <c r="A88" s="100"/>
      <c r="B88" s="619" t="s">
        <v>104</v>
      </c>
      <c r="C88" s="619"/>
      <c r="D88" s="101" t="s">
        <v>101</v>
      </c>
      <c r="E88" s="101">
        <v>0.5</v>
      </c>
      <c r="F88" s="101">
        <v>1.68</v>
      </c>
      <c r="G88" s="103">
        <f>E87*E88*F88</f>
        <v>15.12</v>
      </c>
    </row>
    <row r="89" spans="1:7" ht="14.25" customHeight="1">
      <c r="A89" s="100"/>
      <c r="B89" s="619" t="s">
        <v>107</v>
      </c>
      <c r="C89" s="619"/>
      <c r="D89" s="101" t="s">
        <v>85</v>
      </c>
      <c r="E89" s="101"/>
      <c r="F89" s="101">
        <v>0.6</v>
      </c>
      <c r="G89" s="101">
        <f>E87*F89</f>
        <v>10.799999999999999</v>
      </c>
    </row>
    <row r="91" spans="1:7" ht="15.75">
      <c r="A91" s="620" t="s">
        <v>208</v>
      </c>
      <c r="B91" s="620"/>
      <c r="C91" s="620"/>
      <c r="D91" s="87"/>
      <c r="E91" s="87"/>
      <c r="F91" s="89"/>
      <c r="G91" s="89"/>
    </row>
    <row r="92" spans="1:7" ht="18.75" customHeight="1">
      <c r="A92" s="93"/>
      <c r="B92" s="621"/>
      <c r="C92" s="621"/>
      <c r="D92" s="84"/>
      <c r="E92" s="84"/>
      <c r="F92" s="84"/>
      <c r="G92" s="84"/>
    </row>
    <row r="93" spans="1:7" ht="14.25">
      <c r="A93" s="93"/>
      <c r="B93" s="587"/>
      <c r="C93" s="588"/>
      <c r="D93" s="84"/>
      <c r="E93" s="94"/>
      <c r="F93" s="84"/>
      <c r="G93" s="85">
        <f>SUM(G92:G92)</f>
        <v>0</v>
      </c>
    </row>
    <row r="94" spans="1:7" ht="14.25" customHeight="1">
      <c r="A94" s="84"/>
      <c r="B94" s="587" t="s">
        <v>108</v>
      </c>
      <c r="C94" s="588"/>
      <c r="D94" s="84"/>
      <c r="E94" s="94"/>
      <c r="F94" s="84"/>
      <c r="G94" s="85">
        <f>SUM(G69:G93)</f>
        <v>279.144</v>
      </c>
    </row>
    <row r="95" spans="1:7" ht="12.75">
      <c r="A95" s="104"/>
      <c r="B95" s="104"/>
      <c r="C95" s="104"/>
      <c r="D95" s="104"/>
      <c r="E95" s="104"/>
      <c r="F95" s="104"/>
      <c r="G95" s="104"/>
    </row>
    <row r="96" ht="15" thickBot="1">
      <c r="A96" s="76" t="s">
        <v>110</v>
      </c>
    </row>
    <row r="97" spans="1:7" ht="26.25" customHeight="1">
      <c r="A97" s="96" t="s">
        <v>37</v>
      </c>
      <c r="B97" s="105" t="s">
        <v>38</v>
      </c>
      <c r="C97" s="106"/>
      <c r="D97" s="77" t="s">
        <v>39</v>
      </c>
      <c r="E97" s="78" t="s">
        <v>207</v>
      </c>
      <c r="F97" s="78" t="s">
        <v>58</v>
      </c>
      <c r="G97" s="78" t="s">
        <v>59</v>
      </c>
    </row>
    <row r="98" spans="1:7" ht="15" customHeight="1">
      <c r="A98" s="84" t="s">
        <v>9</v>
      </c>
      <c r="B98" s="613" t="s">
        <v>111</v>
      </c>
      <c r="C98" s="613"/>
      <c r="D98" s="101" t="s">
        <v>91</v>
      </c>
      <c r="E98" s="101"/>
      <c r="F98" s="101"/>
      <c r="G98" s="84">
        <f>E98*F98</f>
        <v>0</v>
      </c>
    </row>
    <row r="99" spans="1:7" ht="15" customHeight="1">
      <c r="A99" s="84" t="s">
        <v>45</v>
      </c>
      <c r="B99" s="613" t="s">
        <v>112</v>
      </c>
      <c r="C99" s="613"/>
      <c r="D99" s="101" t="s">
        <v>91</v>
      </c>
      <c r="E99" s="101"/>
      <c r="F99" s="101"/>
      <c r="G99" s="84">
        <f>E99*F99</f>
        <v>0</v>
      </c>
    </row>
    <row r="100" spans="1:7" ht="15" customHeight="1">
      <c r="A100" s="84" t="s">
        <v>14</v>
      </c>
      <c r="B100" s="613" t="s">
        <v>113</v>
      </c>
      <c r="C100" s="613"/>
      <c r="D100" s="101" t="s">
        <v>91</v>
      </c>
      <c r="E100" s="101"/>
      <c r="F100" s="101"/>
      <c r="G100" s="84">
        <f>E100*F100</f>
        <v>0</v>
      </c>
    </row>
    <row r="101" spans="1:7" ht="15" customHeight="1">
      <c r="A101" s="84" t="s">
        <v>49</v>
      </c>
      <c r="B101" s="613" t="s">
        <v>94</v>
      </c>
      <c r="C101" s="613"/>
      <c r="D101" s="101"/>
      <c r="E101" s="101"/>
      <c r="F101" s="101"/>
      <c r="G101" s="101"/>
    </row>
    <row r="102" spans="1:7" ht="15" customHeight="1">
      <c r="A102" s="84"/>
      <c r="B102" s="619" t="s">
        <v>95</v>
      </c>
      <c r="C102" s="619"/>
      <c r="D102" s="101" t="s">
        <v>96</v>
      </c>
      <c r="E102" s="101">
        <v>1</v>
      </c>
      <c r="F102" s="101"/>
      <c r="G102" s="101"/>
    </row>
    <row r="103" spans="1:7" ht="15" customHeight="1">
      <c r="A103" s="84"/>
      <c r="B103" s="619" t="s">
        <v>97</v>
      </c>
      <c r="C103" s="619"/>
      <c r="D103" s="101" t="s">
        <v>91</v>
      </c>
      <c r="E103" s="101">
        <v>8</v>
      </c>
      <c r="F103" s="101"/>
      <c r="G103" s="101"/>
    </row>
    <row r="104" spans="1:7" ht="15" customHeight="1">
      <c r="A104" s="84"/>
      <c r="B104" s="619" t="s">
        <v>114</v>
      </c>
      <c r="C104" s="619"/>
      <c r="D104" s="101" t="s">
        <v>85</v>
      </c>
      <c r="E104" s="101"/>
      <c r="F104" s="101">
        <v>16.04</v>
      </c>
      <c r="G104" s="103">
        <f>E102*E103*F104</f>
        <v>128.32</v>
      </c>
    </row>
    <row r="105" spans="1:7" ht="15" customHeight="1">
      <c r="A105" s="84" t="s">
        <v>19</v>
      </c>
      <c r="B105" s="630" t="s">
        <v>115</v>
      </c>
      <c r="C105" s="630"/>
      <c r="D105" s="101"/>
      <c r="E105" s="101"/>
      <c r="F105" s="101"/>
      <c r="G105" s="101"/>
    </row>
    <row r="106" spans="1:7" ht="15" customHeight="1">
      <c r="A106" s="84"/>
      <c r="B106" s="619" t="s">
        <v>116</v>
      </c>
      <c r="C106" s="619"/>
      <c r="D106" s="101" t="s">
        <v>117</v>
      </c>
      <c r="E106" s="101">
        <v>2</v>
      </c>
      <c r="F106" s="101"/>
      <c r="G106" s="101"/>
    </row>
    <row r="107" spans="1:7" ht="15" customHeight="1">
      <c r="A107" s="84"/>
      <c r="B107" s="619" t="s">
        <v>118</v>
      </c>
      <c r="C107" s="619"/>
      <c r="D107" s="101" t="s">
        <v>85</v>
      </c>
      <c r="E107" s="101">
        <v>10</v>
      </c>
      <c r="F107" s="107">
        <f>(14249.86+97346.65)/73/12/193*0.5</f>
        <v>0.3300343944448388</v>
      </c>
      <c r="G107" s="103">
        <f>E106*E107*F107</f>
        <v>6.6006878888967755</v>
      </c>
    </row>
    <row r="108" spans="1:7" ht="15" customHeight="1">
      <c r="A108" s="84" t="s">
        <v>54</v>
      </c>
      <c r="B108" s="630" t="s">
        <v>119</v>
      </c>
      <c r="C108" s="630"/>
      <c r="D108" s="101"/>
      <c r="E108" s="101"/>
      <c r="F108" s="101"/>
      <c r="G108" s="101"/>
    </row>
    <row r="109" spans="1:7" ht="15" customHeight="1">
      <c r="A109" s="84"/>
      <c r="B109" s="619" t="s">
        <v>120</v>
      </c>
      <c r="C109" s="619"/>
      <c r="D109" s="101" t="s">
        <v>117</v>
      </c>
      <c r="E109" s="101"/>
      <c r="F109" s="101"/>
      <c r="G109" s="101"/>
    </row>
    <row r="110" spans="1:7" ht="15" customHeight="1">
      <c r="A110" s="84"/>
      <c r="B110" s="619" t="s">
        <v>121</v>
      </c>
      <c r="C110" s="619"/>
      <c r="D110" s="101" t="s">
        <v>85</v>
      </c>
      <c r="E110" s="101"/>
      <c r="F110" s="101"/>
      <c r="G110" s="101">
        <f>E109*E110*F110</f>
        <v>0</v>
      </c>
    </row>
    <row r="111" spans="1:7" ht="15" customHeight="1">
      <c r="A111" s="84" t="s">
        <v>22</v>
      </c>
      <c r="B111" s="630" t="s">
        <v>99</v>
      </c>
      <c r="C111" s="630"/>
      <c r="D111" s="101"/>
      <c r="E111" s="101"/>
      <c r="F111" s="101"/>
      <c r="G111" s="101"/>
    </row>
    <row r="112" spans="1:7" ht="15" customHeight="1">
      <c r="A112" s="84"/>
      <c r="B112" s="619" t="s">
        <v>97</v>
      </c>
      <c r="C112" s="619"/>
      <c r="D112" s="101" t="s">
        <v>91</v>
      </c>
      <c r="E112" s="101">
        <v>8</v>
      </c>
      <c r="F112" s="101"/>
      <c r="G112" s="101"/>
    </row>
    <row r="113" spans="1:7" ht="15" customHeight="1">
      <c r="A113" s="84"/>
      <c r="B113" s="619" t="s">
        <v>102</v>
      </c>
      <c r="C113" s="619"/>
      <c r="D113" s="101" t="s">
        <v>85</v>
      </c>
      <c r="E113" s="101"/>
      <c r="F113" s="101">
        <v>3.71</v>
      </c>
      <c r="G113" s="103">
        <f>E112*F113</f>
        <v>29.68</v>
      </c>
    </row>
    <row r="114" spans="1:7" ht="14.25" customHeight="1">
      <c r="A114" s="84" t="s">
        <v>72</v>
      </c>
      <c r="B114" s="613" t="s">
        <v>122</v>
      </c>
      <c r="C114" s="613"/>
      <c r="D114" s="101" t="s">
        <v>91</v>
      </c>
      <c r="E114" s="101"/>
      <c r="F114" s="101"/>
      <c r="G114" s="101">
        <f>E114*F114</f>
        <v>0</v>
      </c>
    </row>
    <row r="115" spans="1:7" ht="14.25" customHeight="1">
      <c r="A115" s="84"/>
      <c r="B115" s="587" t="s">
        <v>123</v>
      </c>
      <c r="C115" s="588"/>
      <c r="D115" s="84"/>
      <c r="E115" s="94"/>
      <c r="F115" s="84"/>
      <c r="G115" s="85">
        <f>SUM(G98:G114)</f>
        <v>164.60068788889677</v>
      </c>
    </row>
    <row r="116" ht="14.25">
      <c r="A116" s="67"/>
    </row>
    <row r="117" ht="14.25">
      <c r="A117" s="76" t="s">
        <v>124</v>
      </c>
    </row>
    <row r="118" ht="15" thickBot="1">
      <c r="A118" s="76"/>
    </row>
    <row r="119" spans="1:9" ht="29.25" customHeight="1">
      <c r="A119" s="96" t="s">
        <v>37</v>
      </c>
      <c r="B119" s="105" t="s">
        <v>38</v>
      </c>
      <c r="C119" s="106"/>
      <c r="D119" s="77" t="s">
        <v>39</v>
      </c>
      <c r="E119" s="108" t="s">
        <v>207</v>
      </c>
      <c r="F119" s="78" t="s">
        <v>58</v>
      </c>
      <c r="G119" s="78" t="s">
        <v>59</v>
      </c>
      <c r="H119" s="109"/>
      <c r="I119" s="110"/>
    </row>
    <row r="120" spans="1:9" ht="15" customHeight="1">
      <c r="A120" s="84" t="s">
        <v>9</v>
      </c>
      <c r="B120" s="613" t="s">
        <v>125</v>
      </c>
      <c r="C120" s="613"/>
      <c r="D120" s="101" t="s">
        <v>96</v>
      </c>
      <c r="E120" s="101">
        <v>1</v>
      </c>
      <c r="F120" s="101"/>
      <c r="G120" s="101"/>
      <c r="H120" s="89"/>
      <c r="I120" s="110"/>
    </row>
    <row r="121" spans="1:9" ht="15" customHeight="1">
      <c r="A121" s="84" t="s">
        <v>45</v>
      </c>
      <c r="B121" s="613" t="s">
        <v>126</v>
      </c>
      <c r="C121" s="613"/>
      <c r="D121" s="101" t="s">
        <v>127</v>
      </c>
      <c r="E121" s="101">
        <v>50</v>
      </c>
      <c r="F121" s="101"/>
      <c r="G121" s="101"/>
      <c r="H121" s="89"/>
      <c r="I121" s="110"/>
    </row>
    <row r="122" spans="1:9" ht="26.25" customHeight="1">
      <c r="A122" s="84" t="s">
        <v>14</v>
      </c>
      <c r="B122" s="613" t="s">
        <v>128</v>
      </c>
      <c r="C122" s="613"/>
      <c r="D122" s="101" t="s">
        <v>129</v>
      </c>
      <c r="E122" s="101">
        <v>9</v>
      </c>
      <c r="F122" s="107">
        <f>1880.95/722.42</f>
        <v>2.6036793001301186</v>
      </c>
      <c r="G122" s="103">
        <f>E120*E122*F122</f>
        <v>23.433113701171067</v>
      </c>
      <c r="H122" s="89"/>
      <c r="I122" s="110"/>
    </row>
    <row r="123" spans="1:9" ht="14.25" customHeight="1">
      <c r="A123" s="84" t="s">
        <v>49</v>
      </c>
      <c r="B123" s="613" t="s">
        <v>130</v>
      </c>
      <c r="C123" s="613"/>
      <c r="D123" s="101" t="s">
        <v>131</v>
      </c>
      <c r="E123" s="101"/>
      <c r="F123" s="101"/>
      <c r="G123" s="101"/>
      <c r="H123" s="89"/>
      <c r="I123" s="110"/>
    </row>
    <row r="124" spans="1:9" ht="15" customHeight="1">
      <c r="A124" s="84"/>
      <c r="B124" s="613" t="s">
        <v>132</v>
      </c>
      <c r="C124" s="613"/>
      <c r="D124" s="101" t="s">
        <v>131</v>
      </c>
      <c r="E124" s="101"/>
      <c r="F124" s="101"/>
      <c r="G124" s="101">
        <f>E124*F124</f>
        <v>0</v>
      </c>
      <c r="H124" s="89"/>
      <c r="I124" s="110"/>
    </row>
    <row r="125" spans="1:9" ht="15">
      <c r="A125" s="84"/>
      <c r="B125" s="613" t="s">
        <v>133</v>
      </c>
      <c r="C125" s="613"/>
      <c r="D125" s="101" t="s">
        <v>131</v>
      </c>
      <c r="E125" s="111">
        <f>6.6/100*E121</f>
        <v>3.3000000000000003</v>
      </c>
      <c r="F125" s="111">
        <v>15.83</v>
      </c>
      <c r="G125" s="103">
        <f>E125*F125</f>
        <v>52.239000000000004</v>
      </c>
      <c r="H125" s="89"/>
      <c r="I125" s="110"/>
    </row>
    <row r="126" spans="1:9" ht="15">
      <c r="A126" s="84"/>
      <c r="B126" s="613" t="s">
        <v>134</v>
      </c>
      <c r="C126" s="613"/>
      <c r="D126" s="101" t="s">
        <v>131</v>
      </c>
      <c r="E126" s="101"/>
      <c r="F126" s="101"/>
      <c r="G126" s="101">
        <f>E126*F126</f>
        <v>0</v>
      </c>
      <c r="H126" s="89"/>
      <c r="I126" s="110"/>
    </row>
    <row r="127" spans="1:9" ht="15">
      <c r="A127" s="84"/>
      <c r="B127" s="587" t="s">
        <v>135</v>
      </c>
      <c r="C127" s="588"/>
      <c r="D127" s="84"/>
      <c r="E127" s="94"/>
      <c r="F127" s="84"/>
      <c r="G127" s="85">
        <f>SUM(G120:G126)</f>
        <v>75.67211370117107</v>
      </c>
      <c r="H127" s="89"/>
      <c r="I127" s="110"/>
    </row>
    <row r="128" spans="1:9" ht="12.75">
      <c r="A128" s="104"/>
      <c r="B128" s="104"/>
      <c r="C128" s="104"/>
      <c r="D128" s="104"/>
      <c r="E128" s="104"/>
      <c r="F128" s="104"/>
      <c r="G128" s="104"/>
      <c r="H128" s="104"/>
      <c r="I128" s="104"/>
    </row>
    <row r="129" ht="15" thickBot="1">
      <c r="A129" s="76" t="s">
        <v>136</v>
      </c>
    </row>
    <row r="130" spans="1:7" ht="28.5" customHeight="1">
      <c r="A130" s="96" t="s">
        <v>37</v>
      </c>
      <c r="B130" s="105" t="s">
        <v>38</v>
      </c>
      <c r="C130" s="106"/>
      <c r="D130" s="78" t="s">
        <v>39</v>
      </c>
      <c r="E130" s="78" t="s">
        <v>207</v>
      </c>
      <c r="F130" s="78" t="s">
        <v>58</v>
      </c>
      <c r="G130" s="78" t="s">
        <v>59</v>
      </c>
    </row>
    <row r="131" spans="1:7" ht="14.25" customHeight="1">
      <c r="A131" s="84" t="s">
        <v>9</v>
      </c>
      <c r="B131" s="613" t="s">
        <v>137</v>
      </c>
      <c r="C131" s="613"/>
      <c r="D131" s="84" t="s">
        <v>138</v>
      </c>
      <c r="E131" s="101"/>
      <c r="F131" s="101"/>
      <c r="G131" s="101"/>
    </row>
    <row r="132" spans="1:7" ht="14.25" customHeight="1">
      <c r="A132" s="84" t="s">
        <v>45</v>
      </c>
      <c r="B132" s="613" t="s">
        <v>139</v>
      </c>
      <c r="C132" s="613"/>
      <c r="D132" s="622"/>
      <c r="E132" s="622"/>
      <c r="F132" s="622"/>
      <c r="G132" s="622"/>
    </row>
    <row r="133" spans="1:7" ht="14.25" customHeight="1">
      <c r="A133" s="84" t="s">
        <v>14</v>
      </c>
      <c r="B133" s="613" t="s">
        <v>140</v>
      </c>
      <c r="C133" s="613"/>
      <c r="D133" s="622"/>
      <c r="E133" s="622"/>
      <c r="F133" s="622"/>
      <c r="G133" s="622"/>
    </row>
    <row r="134" spans="1:7" ht="15" customHeight="1">
      <c r="A134" s="84" t="s">
        <v>49</v>
      </c>
      <c r="B134" s="613" t="s">
        <v>141</v>
      </c>
      <c r="C134" s="613"/>
      <c r="D134" s="84" t="s">
        <v>138</v>
      </c>
      <c r="E134" s="101"/>
      <c r="F134" s="101"/>
      <c r="G134" s="101">
        <f>E134*F134*E131</f>
        <v>0</v>
      </c>
    </row>
    <row r="135" spans="1:7" ht="15" customHeight="1">
      <c r="A135" s="84" t="s">
        <v>19</v>
      </c>
      <c r="B135" s="613" t="s">
        <v>142</v>
      </c>
      <c r="C135" s="613"/>
      <c r="D135" s="84" t="s">
        <v>138</v>
      </c>
      <c r="E135" s="101"/>
      <c r="F135" s="101"/>
      <c r="G135" s="101">
        <f>E135*F135*E131</f>
        <v>0</v>
      </c>
    </row>
    <row r="136" spans="1:7" ht="15" customHeight="1">
      <c r="A136" s="84" t="s">
        <v>54</v>
      </c>
      <c r="B136" s="613" t="s">
        <v>143</v>
      </c>
      <c r="C136" s="613"/>
      <c r="D136" s="84" t="s">
        <v>85</v>
      </c>
      <c r="E136" s="101"/>
      <c r="F136" s="101"/>
      <c r="G136" s="101">
        <f>E131*F136</f>
        <v>0</v>
      </c>
    </row>
    <row r="137" spans="1:7" ht="15" customHeight="1">
      <c r="A137" s="84" t="s">
        <v>22</v>
      </c>
      <c r="B137" s="613" t="s">
        <v>144</v>
      </c>
      <c r="C137" s="613"/>
      <c r="D137" s="84" t="s">
        <v>85</v>
      </c>
      <c r="E137" s="101"/>
      <c r="F137" s="101"/>
      <c r="G137" s="101">
        <f>E131*F137</f>
        <v>0</v>
      </c>
    </row>
    <row r="138" spans="1:7" ht="15" customHeight="1">
      <c r="A138" s="84" t="s">
        <v>72</v>
      </c>
      <c r="B138" s="613" t="s">
        <v>145</v>
      </c>
      <c r="C138" s="613"/>
      <c r="D138" s="84" t="s">
        <v>85</v>
      </c>
      <c r="E138" s="101"/>
      <c r="F138" s="101"/>
      <c r="G138" s="101">
        <f>E131*F138</f>
        <v>0</v>
      </c>
    </row>
    <row r="139" spans="1:7" ht="15" customHeight="1">
      <c r="A139" s="84" t="s">
        <v>26</v>
      </c>
      <c r="B139" s="613" t="s">
        <v>146</v>
      </c>
      <c r="C139" s="613"/>
      <c r="D139" s="84" t="s">
        <v>85</v>
      </c>
      <c r="E139" s="101"/>
      <c r="F139" s="101"/>
      <c r="G139" s="101">
        <f>F139</f>
        <v>0</v>
      </c>
    </row>
    <row r="140" spans="1:7" ht="14.25">
      <c r="A140" s="84"/>
      <c r="B140" s="587" t="s">
        <v>147</v>
      </c>
      <c r="C140" s="588"/>
      <c r="D140" s="84"/>
      <c r="E140" s="94"/>
      <c r="F140" s="84"/>
      <c r="G140" s="85">
        <f>SUM(G134:G139)</f>
        <v>0</v>
      </c>
    </row>
    <row r="141" ht="14.25">
      <c r="A141" s="67"/>
    </row>
    <row r="142" ht="14.25">
      <c r="A142" s="67"/>
    </row>
    <row r="143" ht="14.25">
      <c r="A143" s="76" t="s">
        <v>148</v>
      </c>
    </row>
    <row r="144" ht="15" thickBot="1">
      <c r="A144" s="76"/>
    </row>
    <row r="145" spans="1:7" ht="28.5" customHeight="1">
      <c r="A145" s="96" t="s">
        <v>37</v>
      </c>
      <c r="B145" s="598" t="s">
        <v>38</v>
      </c>
      <c r="C145" s="599"/>
      <c r="D145" s="77" t="s">
        <v>39</v>
      </c>
      <c r="E145" s="78" t="s">
        <v>207</v>
      </c>
      <c r="F145" s="78" t="s">
        <v>58</v>
      </c>
      <c r="G145" s="78" t="s">
        <v>59</v>
      </c>
    </row>
    <row r="146" spans="1:7" ht="14.25" customHeight="1">
      <c r="A146" s="84" t="s">
        <v>9</v>
      </c>
      <c r="B146" s="613" t="s">
        <v>149</v>
      </c>
      <c r="C146" s="613"/>
      <c r="D146" s="84" t="s">
        <v>85</v>
      </c>
      <c r="E146" s="101"/>
      <c r="F146" s="101"/>
      <c r="G146" s="101">
        <f aca="true" t="shared" si="2" ref="G146:G154">E146*F146</f>
        <v>0</v>
      </c>
    </row>
    <row r="147" spans="1:7" ht="14.25" customHeight="1">
      <c r="A147" s="84" t="s">
        <v>45</v>
      </c>
      <c r="B147" s="613" t="s">
        <v>150</v>
      </c>
      <c r="C147" s="613"/>
      <c r="D147" s="84" t="s">
        <v>85</v>
      </c>
      <c r="E147" s="101"/>
      <c r="F147" s="101"/>
      <c r="G147" s="101">
        <f t="shared" si="2"/>
        <v>0</v>
      </c>
    </row>
    <row r="148" spans="1:7" ht="15" customHeight="1">
      <c r="A148" s="84" t="s">
        <v>14</v>
      </c>
      <c r="B148" s="613" t="s">
        <v>564</v>
      </c>
      <c r="C148" s="613"/>
      <c r="D148" s="84" t="s">
        <v>96</v>
      </c>
      <c r="E148" s="107">
        <f>2/22</f>
        <v>0.09090909090909091</v>
      </c>
      <c r="F148" s="101">
        <v>271.78</v>
      </c>
      <c r="G148" s="103">
        <f t="shared" si="2"/>
        <v>24.707272727272727</v>
      </c>
    </row>
    <row r="149" spans="1:7" ht="14.25">
      <c r="A149" s="84" t="s">
        <v>49</v>
      </c>
      <c r="B149" s="613" t="s">
        <v>152</v>
      </c>
      <c r="C149" s="613"/>
      <c r="D149" s="84" t="s">
        <v>96</v>
      </c>
      <c r="E149" s="101">
        <v>1</v>
      </c>
      <c r="F149" s="101">
        <v>14</v>
      </c>
      <c r="G149" s="101">
        <f t="shared" si="2"/>
        <v>14</v>
      </c>
    </row>
    <row r="150" spans="1:7" ht="15" customHeight="1">
      <c r="A150" s="84" t="s">
        <v>19</v>
      </c>
      <c r="B150" s="613" t="s">
        <v>153</v>
      </c>
      <c r="C150" s="613"/>
      <c r="D150" s="84"/>
      <c r="E150" s="101"/>
      <c r="F150" s="101"/>
      <c r="G150" s="101">
        <f t="shared" si="2"/>
        <v>0</v>
      </c>
    </row>
    <row r="151" spans="1:7" ht="15" customHeight="1">
      <c r="A151" s="84" t="s">
        <v>54</v>
      </c>
      <c r="B151" s="613" t="s">
        <v>154</v>
      </c>
      <c r="C151" s="613"/>
      <c r="D151" s="84"/>
      <c r="E151" s="101"/>
      <c r="F151" s="101"/>
      <c r="G151" s="101">
        <f t="shared" si="2"/>
        <v>0</v>
      </c>
    </row>
    <row r="152" spans="1:7" ht="15" customHeight="1">
      <c r="A152" s="84" t="s">
        <v>22</v>
      </c>
      <c r="B152" s="613" t="s">
        <v>155</v>
      </c>
      <c r="C152" s="613"/>
      <c r="D152" s="84"/>
      <c r="E152" s="101"/>
      <c r="F152" s="101"/>
      <c r="G152" s="101">
        <f t="shared" si="2"/>
        <v>0</v>
      </c>
    </row>
    <row r="153" spans="1:7" ht="15" customHeight="1">
      <c r="A153" s="84" t="s">
        <v>72</v>
      </c>
      <c r="B153" s="613" t="s">
        <v>156</v>
      </c>
      <c r="C153" s="613"/>
      <c r="D153" s="84"/>
      <c r="E153" s="101"/>
      <c r="F153" s="101"/>
      <c r="G153" s="101">
        <f t="shared" si="2"/>
        <v>0</v>
      </c>
    </row>
    <row r="154" spans="1:7" ht="15" customHeight="1">
      <c r="A154" s="84" t="s">
        <v>26</v>
      </c>
      <c r="B154" s="613" t="s">
        <v>157</v>
      </c>
      <c r="C154" s="613"/>
      <c r="D154" s="84" t="s">
        <v>85</v>
      </c>
      <c r="E154" s="101"/>
      <c r="F154" s="101"/>
      <c r="G154" s="101">
        <f t="shared" si="2"/>
        <v>0</v>
      </c>
    </row>
    <row r="155" spans="1:7" ht="15" customHeight="1">
      <c r="A155" s="84"/>
      <c r="B155" s="587" t="s">
        <v>158</v>
      </c>
      <c r="C155" s="588"/>
      <c r="D155" s="84"/>
      <c r="E155" s="94"/>
      <c r="F155" s="84"/>
      <c r="G155" s="85">
        <f>SUM(G146:G154)</f>
        <v>38.70727272727272</v>
      </c>
    </row>
    <row r="156" ht="14.25">
      <c r="A156" s="67"/>
    </row>
    <row r="157" ht="14.25">
      <c r="A157" s="76" t="s">
        <v>159</v>
      </c>
    </row>
    <row r="158" ht="15" thickBot="1">
      <c r="A158" s="76"/>
    </row>
    <row r="159" spans="1:7" ht="28.5" customHeight="1">
      <c r="A159" s="623" t="s">
        <v>37</v>
      </c>
      <c r="B159" s="598" t="s">
        <v>38</v>
      </c>
      <c r="C159" s="599"/>
      <c r="D159" s="77" t="s">
        <v>39</v>
      </c>
      <c r="E159" s="78" t="s">
        <v>207</v>
      </c>
      <c r="F159" s="78" t="s">
        <v>58</v>
      </c>
      <c r="G159" s="78" t="s">
        <v>59</v>
      </c>
    </row>
    <row r="160" spans="1:7" ht="15" customHeight="1">
      <c r="A160" s="624"/>
      <c r="B160" s="600"/>
      <c r="C160" s="612"/>
      <c r="D160" s="112"/>
      <c r="E160" s="113"/>
      <c r="F160" s="113"/>
      <c r="G160" s="113"/>
    </row>
    <row r="161" spans="1:7" ht="15" customHeight="1">
      <c r="A161" s="84" t="s">
        <v>9</v>
      </c>
      <c r="B161" s="622" t="s">
        <v>160</v>
      </c>
      <c r="C161" s="622"/>
      <c r="D161" s="84" t="s">
        <v>85</v>
      </c>
      <c r="E161" s="84"/>
      <c r="F161" s="84"/>
      <c r="G161" s="84">
        <f>E161*F161</f>
        <v>0</v>
      </c>
    </row>
    <row r="162" spans="1:7" ht="15" customHeight="1">
      <c r="A162" s="84"/>
      <c r="B162" s="618"/>
      <c r="C162" s="618"/>
      <c r="D162" s="84"/>
      <c r="E162" s="84"/>
      <c r="F162" s="84"/>
      <c r="G162" s="84"/>
    </row>
    <row r="163" spans="1:7" ht="15" customHeight="1">
      <c r="A163" s="84"/>
      <c r="B163" s="587" t="s">
        <v>161</v>
      </c>
      <c r="C163" s="588"/>
      <c r="D163" s="84"/>
      <c r="E163" s="84"/>
      <c r="F163" s="84"/>
      <c r="G163" s="84">
        <f>SUM(G161:G162)</f>
        <v>0</v>
      </c>
    </row>
    <row r="164" ht="15" customHeight="1">
      <c r="A164" s="67"/>
    </row>
    <row r="165" ht="14.25">
      <c r="A165" s="76" t="s">
        <v>162</v>
      </c>
    </row>
    <row r="166" ht="15" thickBot="1">
      <c r="A166" s="76"/>
    </row>
    <row r="167" spans="1:7" ht="28.5" customHeight="1">
      <c r="A167" s="96" t="s">
        <v>37</v>
      </c>
      <c r="B167" s="598" t="s">
        <v>38</v>
      </c>
      <c r="C167" s="599"/>
      <c r="D167" s="77" t="s">
        <v>39</v>
      </c>
      <c r="E167" s="78" t="s">
        <v>207</v>
      </c>
      <c r="F167" s="78" t="s">
        <v>58</v>
      </c>
      <c r="G167" s="78" t="s">
        <v>59</v>
      </c>
    </row>
    <row r="168" spans="1:7" ht="14.25" customHeight="1">
      <c r="A168" s="84" t="s">
        <v>9</v>
      </c>
      <c r="B168" s="613" t="s">
        <v>163</v>
      </c>
      <c r="C168" s="613"/>
      <c r="D168" s="84"/>
      <c r="E168" s="84"/>
      <c r="F168" s="84"/>
      <c r="G168" s="84"/>
    </row>
    <row r="169" spans="1:7" ht="14.25" customHeight="1">
      <c r="A169" s="84"/>
      <c r="B169" s="613" t="s">
        <v>164</v>
      </c>
      <c r="C169" s="613"/>
      <c r="D169" s="84" t="s">
        <v>165</v>
      </c>
      <c r="E169" s="101"/>
      <c r="F169" s="101"/>
      <c r="G169" s="101">
        <f aca="true" t="shared" si="3" ref="G169:G178">E169*F169</f>
        <v>0</v>
      </c>
    </row>
    <row r="170" spans="1:7" ht="14.25" customHeight="1">
      <c r="A170" s="84"/>
      <c r="B170" s="613" t="s">
        <v>167</v>
      </c>
      <c r="C170" s="613"/>
      <c r="D170" s="84" t="s">
        <v>165</v>
      </c>
      <c r="E170" s="101"/>
      <c r="F170" s="101"/>
      <c r="G170" s="101">
        <f t="shared" si="3"/>
        <v>0</v>
      </c>
    </row>
    <row r="171" spans="1:7" ht="14.25" customHeight="1">
      <c r="A171" s="84"/>
      <c r="B171" s="613" t="s">
        <v>168</v>
      </c>
      <c r="C171" s="613"/>
      <c r="D171" s="84" t="s">
        <v>165</v>
      </c>
      <c r="E171" s="101"/>
      <c r="F171" s="101"/>
      <c r="G171" s="101">
        <f>10*F171</f>
        <v>0</v>
      </c>
    </row>
    <row r="172" spans="1:7" ht="29.25" customHeight="1">
      <c r="A172" s="84" t="s">
        <v>45</v>
      </c>
      <c r="B172" s="613" t="s">
        <v>170</v>
      </c>
      <c r="C172" s="613"/>
      <c r="D172" s="84" t="s">
        <v>165</v>
      </c>
      <c r="E172" s="101"/>
      <c r="F172" s="101"/>
      <c r="G172" s="101">
        <f t="shared" si="3"/>
        <v>0</v>
      </c>
    </row>
    <row r="173" spans="1:7" ht="15" customHeight="1">
      <c r="A173" s="84" t="s">
        <v>14</v>
      </c>
      <c r="B173" s="613" t="s">
        <v>171</v>
      </c>
      <c r="C173" s="613"/>
      <c r="D173" s="84" t="s">
        <v>85</v>
      </c>
      <c r="E173" s="101"/>
      <c r="F173" s="101"/>
      <c r="G173" s="101">
        <f t="shared" si="3"/>
        <v>0</v>
      </c>
    </row>
    <row r="174" spans="1:9" ht="15" customHeight="1">
      <c r="A174" s="84" t="s">
        <v>49</v>
      </c>
      <c r="B174" s="613" t="s">
        <v>172</v>
      </c>
      <c r="C174" s="613"/>
      <c r="D174" s="84" t="s">
        <v>91</v>
      </c>
      <c r="E174" s="101"/>
      <c r="F174" s="221"/>
      <c r="G174" s="217">
        <f>E174*F174</f>
        <v>0</v>
      </c>
      <c r="H174" s="174"/>
      <c r="I174" s="174"/>
    </row>
    <row r="175" spans="1:7" ht="15" customHeight="1">
      <c r="A175" s="84" t="s">
        <v>19</v>
      </c>
      <c r="B175" s="613" t="s">
        <v>174</v>
      </c>
      <c r="C175" s="613"/>
      <c r="D175" s="84" t="s">
        <v>43</v>
      </c>
      <c r="E175" s="101">
        <v>0.25</v>
      </c>
      <c r="F175" s="107">
        <f>(F53+F56)*1.27/2</f>
        <v>34.50134932533733</v>
      </c>
      <c r="G175" s="103">
        <f t="shared" si="3"/>
        <v>8.625337331334332</v>
      </c>
    </row>
    <row r="176" spans="1:9" ht="14.25" customHeight="1">
      <c r="A176" s="84" t="s">
        <v>54</v>
      </c>
      <c r="B176" s="470" t="s">
        <v>511</v>
      </c>
      <c r="C176" s="470"/>
      <c r="D176" s="21" t="s">
        <v>43</v>
      </c>
      <c r="E176" s="44">
        <f>3/22</f>
        <v>0.13636363636363635</v>
      </c>
      <c r="F176" s="322">
        <f>17140*1.27/210</f>
        <v>103.65619047619047</v>
      </c>
      <c r="G176" s="290">
        <f>E176*F176</f>
        <v>14.134935064935064</v>
      </c>
      <c r="H176" s="243"/>
      <c r="I176" s="325" t="s">
        <v>565</v>
      </c>
    </row>
    <row r="177" spans="1:7" ht="14.25" customHeight="1">
      <c r="A177" s="84" t="s">
        <v>22</v>
      </c>
      <c r="B177" s="613" t="s">
        <v>176</v>
      </c>
      <c r="C177" s="613"/>
      <c r="D177" s="84" t="s">
        <v>43</v>
      </c>
      <c r="E177" s="101"/>
      <c r="F177" s="101"/>
      <c r="G177" s="101">
        <f t="shared" si="3"/>
        <v>0</v>
      </c>
    </row>
    <row r="178" spans="1:7" ht="15" customHeight="1">
      <c r="A178" s="84" t="s">
        <v>72</v>
      </c>
      <c r="B178" s="613" t="s">
        <v>209</v>
      </c>
      <c r="C178" s="613"/>
      <c r="D178" s="84" t="s">
        <v>85</v>
      </c>
      <c r="E178" s="101"/>
      <c r="F178" s="101"/>
      <c r="G178" s="101">
        <f t="shared" si="3"/>
        <v>0</v>
      </c>
    </row>
    <row r="179" spans="1:7" ht="15" customHeight="1">
      <c r="A179" s="84"/>
      <c r="B179" s="587" t="s">
        <v>177</v>
      </c>
      <c r="C179" s="588"/>
      <c r="D179" s="84"/>
      <c r="E179" s="84"/>
      <c r="F179" s="84"/>
      <c r="G179" s="85">
        <f>SUM(G169:G178)</f>
        <v>22.760272396269396</v>
      </c>
    </row>
    <row r="180" ht="13.5" customHeight="1">
      <c r="A180" s="67"/>
    </row>
    <row r="181" ht="14.25">
      <c r="A181" s="76" t="s">
        <v>178</v>
      </c>
    </row>
    <row r="182" ht="15" thickBot="1">
      <c r="A182" s="76"/>
    </row>
    <row r="183" spans="1:7" ht="28.5" customHeight="1">
      <c r="A183" s="96" t="s">
        <v>37</v>
      </c>
      <c r="B183" s="598" t="s">
        <v>38</v>
      </c>
      <c r="C183" s="599"/>
      <c r="D183" s="77" t="s">
        <v>39</v>
      </c>
      <c r="E183" s="78" t="s">
        <v>207</v>
      </c>
      <c r="F183" s="78" t="s">
        <v>58</v>
      </c>
      <c r="G183" s="78" t="s">
        <v>59</v>
      </c>
    </row>
    <row r="184" spans="1:7" ht="15" customHeight="1">
      <c r="A184" s="84" t="s">
        <v>9</v>
      </c>
      <c r="B184" s="613" t="s">
        <v>179</v>
      </c>
      <c r="C184" s="613"/>
      <c r="D184" s="84" t="s">
        <v>180</v>
      </c>
      <c r="E184" s="101"/>
      <c r="F184" s="101"/>
      <c r="G184" s="101">
        <f>E184*F184</f>
        <v>0</v>
      </c>
    </row>
    <row r="185" spans="1:7" ht="15" customHeight="1">
      <c r="A185" s="84" t="s">
        <v>45</v>
      </c>
      <c r="B185" s="613" t="s">
        <v>181</v>
      </c>
      <c r="C185" s="613"/>
      <c r="D185" s="84" t="s">
        <v>180</v>
      </c>
      <c r="E185" s="101"/>
      <c r="F185" s="101"/>
      <c r="G185" s="101">
        <f>E185*F185</f>
        <v>0</v>
      </c>
    </row>
    <row r="186" spans="1:7" ht="15" customHeight="1">
      <c r="A186" s="84" t="s">
        <v>14</v>
      </c>
      <c r="B186" s="613" t="s">
        <v>182</v>
      </c>
      <c r="C186" s="613"/>
      <c r="D186" s="84" t="s">
        <v>180</v>
      </c>
      <c r="E186" s="101"/>
      <c r="F186" s="101"/>
      <c r="G186" s="101">
        <f>E186*F186</f>
        <v>0</v>
      </c>
    </row>
    <row r="187" spans="1:7" ht="15" customHeight="1">
      <c r="A187" s="84"/>
      <c r="B187" s="587" t="s">
        <v>183</v>
      </c>
      <c r="C187" s="588"/>
      <c r="D187" s="84"/>
      <c r="E187" s="84"/>
      <c r="F187" s="84"/>
      <c r="G187" s="85">
        <f>SUM(G184:G186)</f>
        <v>0</v>
      </c>
    </row>
    <row r="188" ht="14.25">
      <c r="A188" s="67"/>
    </row>
    <row r="189" ht="14.25">
      <c r="A189" s="67"/>
    </row>
    <row r="190" ht="14.25">
      <c r="A190" s="67" t="s">
        <v>184</v>
      </c>
    </row>
    <row r="191" ht="15" thickBot="1">
      <c r="A191" s="67"/>
    </row>
    <row r="192" spans="1:7" ht="28.5" customHeight="1">
      <c r="A192" s="96" t="s">
        <v>37</v>
      </c>
      <c r="B192" s="598" t="s">
        <v>38</v>
      </c>
      <c r="C192" s="599"/>
      <c r="D192" s="77" t="s">
        <v>39</v>
      </c>
      <c r="E192" s="78" t="s">
        <v>210</v>
      </c>
      <c r="F192" s="78" t="s">
        <v>58</v>
      </c>
      <c r="G192" s="78" t="s">
        <v>59</v>
      </c>
    </row>
    <row r="193" spans="1:7" ht="15" customHeight="1">
      <c r="A193" s="84" t="s">
        <v>9</v>
      </c>
      <c r="B193" s="613" t="s">
        <v>185</v>
      </c>
      <c r="C193" s="613"/>
      <c r="D193" s="84" t="s">
        <v>85</v>
      </c>
      <c r="E193" s="101">
        <v>0.5</v>
      </c>
      <c r="F193" s="101">
        <v>32.6</v>
      </c>
      <c r="G193" s="103">
        <f>E193*F193</f>
        <v>16.3</v>
      </c>
    </row>
    <row r="194" spans="1:7" ht="14.25" customHeight="1">
      <c r="A194" s="84" t="s">
        <v>45</v>
      </c>
      <c r="B194" s="613" t="s">
        <v>186</v>
      </c>
      <c r="C194" s="613"/>
      <c r="D194" s="84" t="s">
        <v>85</v>
      </c>
      <c r="E194" s="114"/>
      <c r="F194" s="44">
        <f>(1151.55+210.41+5.7+145.58)*1.2</f>
        <v>1815.888</v>
      </c>
      <c r="G194" s="103">
        <f>F194*E193</f>
        <v>907.944</v>
      </c>
    </row>
    <row r="195" spans="1:7" ht="14.25" customHeight="1">
      <c r="A195" s="84" t="s">
        <v>14</v>
      </c>
      <c r="B195" s="613" t="s">
        <v>187</v>
      </c>
      <c r="C195" s="613"/>
      <c r="D195" s="84" t="s">
        <v>85</v>
      </c>
      <c r="E195" s="114"/>
      <c r="F195" s="114"/>
      <c r="G195" s="114"/>
    </row>
    <row r="196" spans="1:7" ht="14.25">
      <c r="A196" s="84" t="s">
        <v>49</v>
      </c>
      <c r="B196" s="613" t="s">
        <v>188</v>
      </c>
      <c r="C196" s="613"/>
      <c r="D196" s="84" t="s">
        <v>85</v>
      </c>
      <c r="E196" s="114"/>
      <c r="F196" s="114"/>
      <c r="G196" s="114"/>
    </row>
    <row r="197" spans="1:7" ht="15" customHeight="1">
      <c r="A197" s="84" t="s">
        <v>19</v>
      </c>
      <c r="B197" s="613" t="s">
        <v>189</v>
      </c>
      <c r="C197" s="613"/>
      <c r="D197" s="84" t="s">
        <v>85</v>
      </c>
      <c r="E197" s="114"/>
      <c r="F197" s="114"/>
      <c r="G197" s="114"/>
    </row>
    <row r="198" spans="1:10" ht="15" customHeight="1">
      <c r="A198" s="84" t="s">
        <v>54</v>
      </c>
      <c r="B198" s="613" t="s">
        <v>190</v>
      </c>
      <c r="C198" s="613"/>
      <c r="D198" s="84" t="s">
        <v>101</v>
      </c>
      <c r="E198" s="241">
        <f>J198/F198</f>
        <v>18.074825033505</v>
      </c>
      <c r="F198" s="43">
        <v>1.68</v>
      </c>
      <c r="G198" s="240">
        <f>E198*F198</f>
        <v>30.3657060562884</v>
      </c>
      <c r="H198" s="54"/>
      <c r="I198" s="448">
        <f>1288300*0.4/8485.23</f>
        <v>60.7314121125768</v>
      </c>
      <c r="J198" s="448">
        <f>I198*E193</f>
        <v>30.3657060562884</v>
      </c>
    </row>
    <row r="199" spans="1:10" ht="15" customHeight="1">
      <c r="A199" s="84" t="s">
        <v>22</v>
      </c>
      <c r="B199" s="613" t="s">
        <v>191</v>
      </c>
      <c r="C199" s="613"/>
      <c r="D199" s="84" t="s">
        <v>192</v>
      </c>
      <c r="E199" s="446">
        <f>J199/F199</f>
        <v>0.10058302620539868</v>
      </c>
      <c r="F199" s="43">
        <f>987*1.2</f>
        <v>1184.3999999999999</v>
      </c>
      <c r="G199" s="240">
        <f>E199*F199</f>
        <v>119.13053623767418</v>
      </c>
      <c r="H199" s="54"/>
      <c r="I199" s="448">
        <f>2021700/8485.23</f>
        <v>238.26107247534836</v>
      </c>
      <c r="J199" s="448">
        <f>I199*E193</f>
        <v>119.13053623767418</v>
      </c>
    </row>
    <row r="200" spans="1:10" ht="15" customHeight="1">
      <c r="A200" s="84" t="s">
        <v>72</v>
      </c>
      <c r="B200" s="613" t="s">
        <v>193</v>
      </c>
      <c r="C200" s="613"/>
      <c r="D200" s="84" t="s">
        <v>85</v>
      </c>
      <c r="E200" s="447"/>
      <c r="F200" s="241">
        <f>(229000+16300)/8485.23</f>
        <v>28.909057267746427</v>
      </c>
      <c r="G200" s="240">
        <f>F200*E193</f>
        <v>14.454528633873213</v>
      </c>
      <c r="H200" s="54"/>
      <c r="I200" s="54"/>
      <c r="J200" s="54"/>
    </row>
    <row r="201" spans="1:10" ht="14.25" customHeight="1">
      <c r="A201" s="84" t="s">
        <v>26</v>
      </c>
      <c r="B201" s="613" t="s">
        <v>194</v>
      </c>
      <c r="C201" s="613"/>
      <c r="D201" s="84" t="s">
        <v>85</v>
      </c>
      <c r="E201" s="447"/>
      <c r="F201" s="43">
        <v>2693.4</v>
      </c>
      <c r="G201" s="240">
        <f>F201*E193</f>
        <v>1346.7</v>
      </c>
      <c r="H201" s="54"/>
      <c r="I201" s="54"/>
      <c r="J201" s="54"/>
    </row>
    <row r="202" spans="1:10" ht="15" customHeight="1">
      <c r="A202" s="84" t="s">
        <v>31</v>
      </c>
      <c r="B202" s="613" t="s">
        <v>195</v>
      </c>
      <c r="C202" s="613"/>
      <c r="D202" s="84" t="s">
        <v>85</v>
      </c>
      <c r="E202" s="447"/>
      <c r="F202" s="43">
        <v>300.6</v>
      </c>
      <c r="G202" s="240">
        <f>F202*E193</f>
        <v>150.3</v>
      </c>
      <c r="H202" s="54"/>
      <c r="I202" s="54"/>
      <c r="J202" s="54"/>
    </row>
    <row r="203" spans="1:10" ht="15" customHeight="1">
      <c r="A203" s="84" t="s">
        <v>79</v>
      </c>
      <c r="B203" s="613" t="s">
        <v>196</v>
      </c>
      <c r="C203" s="613"/>
      <c r="D203" s="84" t="s">
        <v>85</v>
      </c>
      <c r="E203" s="447"/>
      <c r="F203" s="43">
        <v>1242.8</v>
      </c>
      <c r="G203" s="240">
        <f>F203*E193</f>
        <v>621.4</v>
      </c>
      <c r="H203" s="54"/>
      <c r="I203" s="54"/>
      <c r="J203" s="54"/>
    </row>
    <row r="204" ht="14.25">
      <c r="A204" s="67"/>
    </row>
    <row r="205" ht="14.25">
      <c r="A205" s="67" t="s">
        <v>197</v>
      </c>
    </row>
    <row r="206" ht="15" thickBot="1">
      <c r="A206" s="76"/>
    </row>
    <row r="207" spans="1:7" ht="14.25" customHeight="1">
      <c r="A207" s="623" t="s">
        <v>37</v>
      </c>
      <c r="B207" s="598" t="s">
        <v>38</v>
      </c>
      <c r="C207" s="599"/>
      <c r="D207" s="77" t="s">
        <v>198</v>
      </c>
      <c r="E207" s="598" t="s">
        <v>59</v>
      </c>
      <c r="F207" s="616"/>
      <c r="G207" s="599"/>
    </row>
    <row r="208" spans="1:7" ht="14.25">
      <c r="A208" s="624"/>
      <c r="B208" s="600"/>
      <c r="C208" s="612"/>
      <c r="D208" s="112" t="s">
        <v>199</v>
      </c>
      <c r="E208" s="600"/>
      <c r="F208" s="617"/>
      <c r="G208" s="612"/>
    </row>
    <row r="209" spans="1:7" ht="15" customHeight="1">
      <c r="A209" s="84" t="s">
        <v>9</v>
      </c>
      <c r="B209" s="613" t="s">
        <v>200</v>
      </c>
      <c r="C209" s="613"/>
      <c r="D209" s="84" t="s">
        <v>85</v>
      </c>
      <c r="E209" s="614">
        <f>G44+G57+G61+G62+G94+G115+G127+G140+G155+G163+G179+G187</f>
        <v>3448.9814365567477</v>
      </c>
      <c r="F209" s="615"/>
      <c r="G209" s="615"/>
    </row>
    <row r="210" spans="1:7" ht="15" customHeight="1">
      <c r="A210" s="84" t="s">
        <v>45</v>
      </c>
      <c r="B210" s="613" t="s">
        <v>201</v>
      </c>
      <c r="C210" s="613"/>
      <c r="D210" s="84" t="s">
        <v>85</v>
      </c>
      <c r="E210" s="614">
        <f>SUM(G193:G203)</f>
        <v>3206.594770927836</v>
      </c>
      <c r="F210" s="614"/>
      <c r="G210" s="614"/>
    </row>
    <row r="211" spans="1:7" ht="14.25">
      <c r="A211" s="84" t="s">
        <v>14</v>
      </c>
      <c r="B211" s="613" t="s">
        <v>202</v>
      </c>
      <c r="C211" s="613"/>
      <c r="D211" s="84" t="s">
        <v>85</v>
      </c>
      <c r="E211" s="614">
        <f>E209+E210</f>
        <v>6655.576207484584</v>
      </c>
      <c r="F211" s="614"/>
      <c r="G211" s="614"/>
    </row>
    <row r="212" spans="1:7" ht="15" customHeight="1">
      <c r="A212" s="84">
        <v>4</v>
      </c>
      <c r="B212" s="613" t="s">
        <v>203</v>
      </c>
      <c r="C212" s="613"/>
      <c r="D212" s="84" t="s">
        <v>85</v>
      </c>
      <c r="E212" s="611"/>
      <c r="F212" s="611"/>
      <c r="G212" s="611"/>
    </row>
    <row r="213" spans="1:7" ht="15" customHeight="1">
      <c r="A213" s="84" t="s">
        <v>19</v>
      </c>
      <c r="B213" s="613" t="s">
        <v>204</v>
      </c>
      <c r="C213" s="613"/>
      <c r="D213" s="84" t="s">
        <v>85</v>
      </c>
      <c r="E213" s="611">
        <f>E211-E212</f>
        <v>6655.576207484584</v>
      </c>
      <c r="F213" s="611"/>
      <c r="G213" s="611"/>
    </row>
    <row r="214" ht="14.25">
      <c r="A214" s="95"/>
    </row>
    <row r="215" ht="14.25">
      <c r="A215" s="95"/>
    </row>
    <row r="216" spans="2:3" ht="14.25">
      <c r="B216" s="116" t="s">
        <v>63</v>
      </c>
      <c r="C216" s="117"/>
    </row>
    <row r="217" ht="14.25">
      <c r="A217" s="95"/>
    </row>
    <row r="218" ht="14.25">
      <c r="B218" s="116" t="s">
        <v>206</v>
      </c>
    </row>
  </sheetData>
  <sheetProtection/>
  <mergeCells count="164">
    <mergeCell ref="B137:C137"/>
    <mergeCell ref="B120:C120"/>
    <mergeCell ref="B131:C131"/>
    <mergeCell ref="B132:C132"/>
    <mergeCell ref="B133:C133"/>
    <mergeCell ref="B126:C126"/>
    <mergeCell ref="B111:C111"/>
    <mergeCell ref="B112:C112"/>
    <mergeCell ref="B113:C113"/>
    <mergeCell ref="B114:C114"/>
    <mergeCell ref="B134:C134"/>
    <mergeCell ref="B135:C135"/>
    <mergeCell ref="B70:C70"/>
    <mergeCell ref="B71:C71"/>
    <mergeCell ref="B77:C77"/>
    <mergeCell ref="B107:C107"/>
    <mergeCell ref="B99:C99"/>
    <mergeCell ref="B100:C100"/>
    <mergeCell ref="B101:C101"/>
    <mergeCell ref="B98:C98"/>
    <mergeCell ref="B104:C104"/>
    <mergeCell ref="B105:C105"/>
    <mergeCell ref="A33:A34"/>
    <mergeCell ref="B44:C44"/>
    <mergeCell ref="B61:C61"/>
    <mergeCell ref="B62:C62"/>
    <mergeCell ref="A40:A43"/>
    <mergeCell ref="B36:C36"/>
    <mergeCell ref="B37:C37"/>
    <mergeCell ref="B38:C38"/>
    <mergeCell ref="B39:C39"/>
    <mergeCell ref="B40:C40"/>
    <mergeCell ref="A207:A208"/>
    <mergeCell ref="B121:C121"/>
    <mergeCell ref="B122:C122"/>
    <mergeCell ref="B123:C123"/>
    <mergeCell ref="B124:C124"/>
    <mergeCell ref="B125:C125"/>
    <mergeCell ref="B138:C138"/>
    <mergeCell ref="A159:A160"/>
    <mergeCell ref="B159:C160"/>
    <mergeCell ref="B161:C161"/>
    <mergeCell ref="A47:A48"/>
    <mergeCell ref="D132:G132"/>
    <mergeCell ref="F47:F48"/>
    <mergeCell ref="G47:G48"/>
    <mergeCell ref="B78:C78"/>
    <mergeCell ref="B79:C79"/>
    <mergeCell ref="B68:C68"/>
    <mergeCell ref="B69:C69"/>
    <mergeCell ref="A67:C67"/>
    <mergeCell ref="A66:C66"/>
    <mergeCell ref="B83:C83"/>
    <mergeCell ref="A85:C85"/>
    <mergeCell ref="A86:C86"/>
    <mergeCell ref="A91:C91"/>
    <mergeCell ref="B102:C102"/>
    <mergeCell ref="B103:C103"/>
    <mergeCell ref="B93:C93"/>
    <mergeCell ref="B148:C148"/>
    <mergeCell ref="B149:C149"/>
    <mergeCell ref="B92:C92"/>
    <mergeCell ref="B140:C140"/>
    <mergeCell ref="D133:G133"/>
    <mergeCell ref="B84:C84"/>
    <mergeCell ref="B106:C106"/>
    <mergeCell ref="B109:C109"/>
    <mergeCell ref="B110:C110"/>
    <mergeCell ref="B108:C108"/>
    <mergeCell ref="B72:C72"/>
    <mergeCell ref="B73:C73"/>
    <mergeCell ref="B74:C74"/>
    <mergeCell ref="B75:C75"/>
    <mergeCell ref="B152:C152"/>
    <mergeCell ref="A80:C80"/>
    <mergeCell ref="A81:C81"/>
    <mergeCell ref="B151:C151"/>
    <mergeCell ref="B150:C150"/>
    <mergeCell ref="B147:C147"/>
    <mergeCell ref="B146:C146"/>
    <mergeCell ref="B145:C145"/>
    <mergeCell ref="B136:C136"/>
    <mergeCell ref="B139:C139"/>
    <mergeCell ref="B76:C76"/>
    <mergeCell ref="B89:C89"/>
    <mergeCell ref="B94:C94"/>
    <mergeCell ref="B87:C87"/>
    <mergeCell ref="B88:C88"/>
    <mergeCell ref="B82:C82"/>
    <mergeCell ref="B155:C155"/>
    <mergeCell ref="B154:C154"/>
    <mergeCell ref="B153:C153"/>
    <mergeCell ref="B170:C170"/>
    <mergeCell ref="B173:C173"/>
    <mergeCell ref="B174:C174"/>
    <mergeCell ref="B172:C172"/>
    <mergeCell ref="B168:C168"/>
    <mergeCell ref="B162:C162"/>
    <mergeCell ref="B163:C163"/>
    <mergeCell ref="B167:C167"/>
    <mergeCell ref="B169:C169"/>
    <mergeCell ref="B183:C183"/>
    <mergeCell ref="B192:C192"/>
    <mergeCell ref="B187:C187"/>
    <mergeCell ref="B176:C176"/>
    <mergeCell ref="B177:C177"/>
    <mergeCell ref="B178:C178"/>
    <mergeCell ref="B194:C194"/>
    <mergeCell ref="B195:C195"/>
    <mergeCell ref="B196:C196"/>
    <mergeCell ref="B197:C197"/>
    <mergeCell ref="B193:C193"/>
    <mergeCell ref="B171:C171"/>
    <mergeCell ref="B184:C184"/>
    <mergeCell ref="B185:C185"/>
    <mergeCell ref="B186:C186"/>
    <mergeCell ref="B175:C175"/>
    <mergeCell ref="B198:C198"/>
    <mergeCell ref="B199:C199"/>
    <mergeCell ref="B200:C200"/>
    <mergeCell ref="E212:G212"/>
    <mergeCell ref="B201:C201"/>
    <mergeCell ref="B202:C202"/>
    <mergeCell ref="B203:C203"/>
    <mergeCell ref="E207:G208"/>
    <mergeCell ref="E213:G213"/>
    <mergeCell ref="B207:C208"/>
    <mergeCell ref="B209:C209"/>
    <mergeCell ref="B210:C210"/>
    <mergeCell ref="B211:C211"/>
    <mergeCell ref="B212:C212"/>
    <mergeCell ref="B213:C213"/>
    <mergeCell ref="E209:G209"/>
    <mergeCell ref="E210:G210"/>
    <mergeCell ref="E211:G211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B65:C65"/>
    <mergeCell ref="B60:C60"/>
    <mergeCell ref="D47:D48"/>
    <mergeCell ref="F20:G20"/>
    <mergeCell ref="F22:G22"/>
    <mergeCell ref="F24:G24"/>
    <mergeCell ref="B28:G28"/>
    <mergeCell ref="C26:G26"/>
    <mergeCell ref="E47:E48"/>
    <mergeCell ref="B33:C34"/>
    <mergeCell ref="B115:C115"/>
    <mergeCell ref="B127:C127"/>
    <mergeCell ref="B179:C179"/>
    <mergeCell ref="A7:G7"/>
    <mergeCell ref="A8:G8"/>
    <mergeCell ref="A9:G9"/>
    <mergeCell ref="B27:G27"/>
    <mergeCell ref="D24:E24"/>
    <mergeCell ref="F16:G16"/>
    <mergeCell ref="F18:G18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9"/>
  <sheetViews>
    <sheetView zoomScalePageLayoutView="0" workbookViewId="0" topLeftCell="A193">
      <selection activeCell="F21" sqref="F21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276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214</v>
      </c>
      <c r="D18" s="596" t="s">
        <v>17</v>
      </c>
      <c r="E18" s="597"/>
      <c r="F18" s="596" t="s">
        <v>277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70">
        <v>22</v>
      </c>
      <c r="D20" s="596" t="s">
        <v>21</v>
      </c>
      <c r="E20" s="597"/>
      <c r="F20" s="596" t="s">
        <v>610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553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255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554</v>
      </c>
      <c r="D26" s="592"/>
      <c r="E26" s="592"/>
      <c r="F26" s="592"/>
      <c r="G26" s="593"/>
    </row>
    <row r="27" spans="1:7" ht="15" thickBot="1">
      <c r="A27" s="75"/>
      <c r="B27" s="591" t="s">
        <v>555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278</v>
      </c>
      <c r="C36" s="613"/>
      <c r="D36" s="84" t="s">
        <v>43</v>
      </c>
      <c r="E36" s="85">
        <v>24</v>
      </c>
      <c r="F36" s="86">
        <f>F50/24</f>
        <v>1.2743628185907048</v>
      </c>
      <c r="G36" s="85">
        <f aca="true" t="shared" si="0" ref="G36:G43">E36*F36</f>
        <v>30.584707646176916</v>
      </c>
    </row>
    <row r="37" spans="1:7" ht="15" customHeight="1">
      <c r="A37" s="84" t="s">
        <v>45</v>
      </c>
      <c r="B37" s="613" t="s">
        <v>279</v>
      </c>
      <c r="C37" s="613"/>
      <c r="D37" s="84" t="s">
        <v>43</v>
      </c>
      <c r="E37" s="84">
        <v>24</v>
      </c>
      <c r="F37" s="86">
        <f>F50/24</f>
        <v>1.2743628185907048</v>
      </c>
      <c r="G37" s="85">
        <f t="shared" si="0"/>
        <v>30.584707646176916</v>
      </c>
    </row>
    <row r="38" spans="1:7" ht="15" customHeight="1">
      <c r="A38" s="84" t="s">
        <v>14</v>
      </c>
      <c r="B38" s="613" t="s">
        <v>280</v>
      </c>
      <c r="C38" s="613"/>
      <c r="D38" s="84" t="s">
        <v>43</v>
      </c>
      <c r="E38" s="84">
        <v>8</v>
      </c>
      <c r="F38" s="86">
        <f>F50/24</f>
        <v>1.2743628185907048</v>
      </c>
      <c r="G38" s="85">
        <f t="shared" si="0"/>
        <v>10.194902548725638</v>
      </c>
    </row>
    <row r="39" spans="1:7" ht="15" customHeight="1">
      <c r="A39" s="84" t="s">
        <v>49</v>
      </c>
      <c r="B39" s="613" t="s">
        <v>281</v>
      </c>
      <c r="C39" s="613"/>
      <c r="D39" s="84" t="s">
        <v>43</v>
      </c>
      <c r="E39" s="84">
        <v>16</v>
      </c>
      <c r="F39" s="86">
        <f>F50/24</f>
        <v>1.2743628185907048</v>
      </c>
      <c r="G39" s="85">
        <f t="shared" si="0"/>
        <v>20.389805097451276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52</v>
      </c>
      <c r="C41" s="608"/>
      <c r="D41" s="87"/>
      <c r="E41" s="90">
        <v>5</v>
      </c>
      <c r="F41" s="89"/>
      <c r="G41" s="84">
        <f t="shared" si="0"/>
        <v>0</v>
      </c>
    </row>
    <row r="42" spans="1:7" ht="15.75" customHeight="1">
      <c r="A42" s="627"/>
      <c r="B42" s="607" t="s">
        <v>282</v>
      </c>
      <c r="C42" s="608"/>
      <c r="D42" s="87"/>
      <c r="E42" s="90">
        <v>5</v>
      </c>
      <c r="F42" s="89"/>
      <c r="G42" s="84">
        <f t="shared" si="0"/>
        <v>0</v>
      </c>
    </row>
    <row r="43" spans="1:7" ht="14.25">
      <c r="A43" s="627"/>
      <c r="B43" s="609" t="s">
        <v>283</v>
      </c>
      <c r="C43" s="610"/>
      <c r="D43" s="87"/>
      <c r="E43" s="91">
        <v>5</v>
      </c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91.75412293853074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1</v>
      </c>
      <c r="F49" s="86">
        <f>6600*12/2001</f>
        <v>39.58020989505248</v>
      </c>
      <c r="G49" s="85">
        <f aca="true" t="shared" si="1" ref="G49:G56">E49*F49</f>
        <v>39.58020989505248</v>
      </c>
    </row>
    <row r="50" spans="1:7" ht="15" customHeight="1">
      <c r="A50" s="84">
        <v>2</v>
      </c>
      <c r="B50" s="93" t="s">
        <v>63</v>
      </c>
      <c r="C50" s="93" t="s">
        <v>284</v>
      </c>
      <c r="D50" s="84" t="s">
        <v>43</v>
      </c>
      <c r="E50" s="84">
        <v>20</v>
      </c>
      <c r="F50" s="86">
        <f>5100*12/2001</f>
        <v>30.584707646176913</v>
      </c>
      <c r="G50" s="85">
        <f t="shared" si="1"/>
        <v>611.6941529235382</v>
      </c>
    </row>
    <row r="51" spans="1:9" ht="15" customHeight="1">
      <c r="A51" s="84">
        <v>3</v>
      </c>
      <c r="B51" s="93" t="s">
        <v>67</v>
      </c>
      <c r="C51" s="93" t="s">
        <v>395</v>
      </c>
      <c r="D51" s="84" t="s">
        <v>43</v>
      </c>
      <c r="E51" s="94" t="s">
        <v>364</v>
      </c>
      <c r="F51" s="86">
        <f>4386*12/2001</f>
        <v>26.302848575712144</v>
      </c>
      <c r="G51" s="85">
        <f t="shared" si="1"/>
        <v>420.8455772113943</v>
      </c>
      <c r="I51" s="440" t="s">
        <v>537</v>
      </c>
    </row>
    <row r="52" spans="1:9" ht="15" customHeight="1">
      <c r="A52" s="84">
        <v>4</v>
      </c>
      <c r="B52" s="93" t="s">
        <v>70</v>
      </c>
      <c r="C52" s="93" t="s">
        <v>286</v>
      </c>
      <c r="D52" s="84" t="s">
        <v>43</v>
      </c>
      <c r="E52" s="84">
        <v>20</v>
      </c>
      <c r="F52" s="86">
        <f>5120*12/2001</f>
        <v>30.70464767616192</v>
      </c>
      <c r="G52" s="85">
        <f t="shared" si="1"/>
        <v>614.0929535232384</v>
      </c>
      <c r="I52" s="234"/>
    </row>
    <row r="53" spans="1:9" ht="15" customHeight="1">
      <c r="A53" s="84">
        <v>5</v>
      </c>
      <c r="B53" s="93" t="s">
        <v>80</v>
      </c>
      <c r="C53" s="93" t="s">
        <v>395</v>
      </c>
      <c r="D53" s="84" t="s">
        <v>43</v>
      </c>
      <c r="E53" s="84">
        <v>8</v>
      </c>
      <c r="F53" s="86">
        <f>2890*12/2001</f>
        <v>17.331334332833585</v>
      </c>
      <c r="G53" s="85">
        <f t="shared" si="1"/>
        <v>138.65067466266868</v>
      </c>
      <c r="I53" s="234" t="s">
        <v>450</v>
      </c>
    </row>
    <row r="54" spans="1:9" ht="15" customHeight="1">
      <c r="A54" s="84">
        <v>6</v>
      </c>
      <c r="B54" s="93" t="s">
        <v>263</v>
      </c>
      <c r="C54" s="93" t="s">
        <v>395</v>
      </c>
      <c r="D54" s="84" t="s">
        <v>43</v>
      </c>
      <c r="E54" s="84">
        <v>16</v>
      </c>
      <c r="F54" s="237">
        <f>3061*12/2001</f>
        <v>18.356821589205396</v>
      </c>
      <c r="G54" s="85">
        <f t="shared" si="1"/>
        <v>293.70914542728633</v>
      </c>
      <c r="I54" s="234" t="s">
        <v>411</v>
      </c>
    </row>
    <row r="55" spans="1:9" ht="15" customHeight="1">
      <c r="A55" s="84">
        <v>7</v>
      </c>
      <c r="B55" s="93" t="s">
        <v>556</v>
      </c>
      <c r="C55" s="93" t="s">
        <v>395</v>
      </c>
      <c r="D55" s="84" t="s">
        <v>43</v>
      </c>
      <c r="E55" s="94" t="s">
        <v>228</v>
      </c>
      <c r="F55" s="86">
        <f>4550*12/2001</f>
        <v>27.286356821589205</v>
      </c>
      <c r="G55" s="85">
        <f t="shared" si="1"/>
        <v>27.286356821589205</v>
      </c>
      <c r="I55" s="234" t="s">
        <v>557</v>
      </c>
    </row>
    <row r="56" spans="1:9" ht="15" customHeight="1">
      <c r="A56" s="84">
        <v>8</v>
      </c>
      <c r="B56" s="93" t="s">
        <v>425</v>
      </c>
      <c r="C56" s="93" t="s">
        <v>395</v>
      </c>
      <c r="D56" s="84" t="s">
        <v>43</v>
      </c>
      <c r="E56" s="94" t="s">
        <v>364</v>
      </c>
      <c r="F56" s="86">
        <f>3894*12/2001</f>
        <v>23.35232383808096</v>
      </c>
      <c r="G56" s="85">
        <f t="shared" si="1"/>
        <v>373.63718140929535</v>
      </c>
      <c r="I56" s="442" t="s">
        <v>431</v>
      </c>
    </row>
    <row r="57" spans="1:7" ht="15" customHeight="1">
      <c r="A57" s="84"/>
      <c r="B57" s="93" t="s">
        <v>82</v>
      </c>
      <c r="C57" s="93"/>
      <c r="D57" s="84"/>
      <c r="E57" s="84"/>
      <c r="F57" s="84"/>
      <c r="G57" s="85">
        <f>SUM(G49:G56)</f>
        <v>2519.496251874063</v>
      </c>
    </row>
    <row r="58" ht="15" customHeight="1">
      <c r="A58" s="95"/>
    </row>
    <row r="59" ht="15" thickBot="1">
      <c r="A59" s="76" t="s">
        <v>83</v>
      </c>
    </row>
    <row r="60" spans="1:7" ht="28.5" customHeight="1">
      <c r="A60" s="96" t="s">
        <v>37</v>
      </c>
      <c r="B60" s="598" t="s">
        <v>38</v>
      </c>
      <c r="C60" s="599"/>
      <c r="D60" s="78" t="s">
        <v>39</v>
      </c>
      <c r="E60" s="78" t="s">
        <v>207</v>
      </c>
      <c r="F60" s="78" t="s">
        <v>58</v>
      </c>
      <c r="G60" s="78" t="s">
        <v>59</v>
      </c>
    </row>
    <row r="61" spans="1:7" ht="15" customHeight="1">
      <c r="A61" s="84" t="s">
        <v>9</v>
      </c>
      <c r="B61" s="613" t="s">
        <v>84</v>
      </c>
      <c r="C61" s="613"/>
      <c r="D61" s="84" t="s">
        <v>85</v>
      </c>
      <c r="E61" s="97"/>
      <c r="F61" s="97"/>
      <c r="G61" s="85">
        <f>(G44+G57)*0.23</f>
        <v>600.5875862068966</v>
      </c>
    </row>
    <row r="62" spans="1:7" ht="15" customHeight="1">
      <c r="A62" s="84" t="s">
        <v>45</v>
      </c>
      <c r="B62" s="613" t="s">
        <v>539</v>
      </c>
      <c r="C62" s="613"/>
      <c r="D62" s="84" t="s">
        <v>85</v>
      </c>
      <c r="E62" s="97"/>
      <c r="F62" s="97"/>
      <c r="G62" s="85">
        <f>(G44+G57)*0.04</f>
        <v>104.45001499250375</v>
      </c>
    </row>
    <row r="63" ht="18" customHeight="1">
      <c r="A63" s="95"/>
    </row>
    <row r="64" ht="15" thickBot="1">
      <c r="A64" s="76" t="s">
        <v>87</v>
      </c>
    </row>
    <row r="65" spans="1:7" ht="27" customHeight="1" thickBot="1">
      <c r="A65" s="78" t="s">
        <v>37</v>
      </c>
      <c r="B65" s="598" t="s">
        <v>38</v>
      </c>
      <c r="C65" s="599"/>
      <c r="D65" s="77" t="s">
        <v>39</v>
      </c>
      <c r="E65" s="96" t="s">
        <v>207</v>
      </c>
      <c r="F65" s="78" t="s">
        <v>58</v>
      </c>
      <c r="G65" s="78" t="s">
        <v>59</v>
      </c>
    </row>
    <row r="66" spans="1:7" ht="15" customHeight="1">
      <c r="A66" s="625"/>
      <c r="B66" s="625"/>
      <c r="C66" s="625"/>
      <c r="D66" s="98"/>
      <c r="E66" s="98"/>
      <c r="F66" s="99"/>
      <c r="G66" s="99"/>
    </row>
    <row r="67" spans="1:7" ht="14.25">
      <c r="A67" s="620" t="s">
        <v>88</v>
      </c>
      <c r="B67" s="620"/>
      <c r="C67" s="620"/>
      <c r="D67" s="87"/>
      <c r="E67" s="87"/>
      <c r="F67" s="89"/>
      <c r="G67" s="89"/>
    </row>
    <row r="68" spans="1:7" ht="15" customHeight="1">
      <c r="A68" s="100" t="s">
        <v>9</v>
      </c>
      <c r="B68" s="613" t="s">
        <v>313</v>
      </c>
      <c r="C68" s="613"/>
      <c r="D68" s="84"/>
      <c r="E68" s="84"/>
      <c r="F68" s="84"/>
      <c r="G68" s="84"/>
    </row>
    <row r="69" spans="1:7" ht="15" customHeight="1">
      <c r="A69" s="100" t="s">
        <v>45</v>
      </c>
      <c r="B69" s="613" t="s">
        <v>90</v>
      </c>
      <c r="C69" s="613"/>
      <c r="D69" s="84" t="s">
        <v>91</v>
      </c>
      <c r="E69" s="84"/>
      <c r="F69" s="84"/>
      <c r="G69" s="85">
        <f>E69*F69</f>
        <v>0</v>
      </c>
    </row>
    <row r="70" spans="1:7" ht="15" customHeight="1">
      <c r="A70" s="100" t="s">
        <v>14</v>
      </c>
      <c r="B70" s="613" t="s">
        <v>92</v>
      </c>
      <c r="C70" s="613"/>
      <c r="D70" s="84" t="s">
        <v>91</v>
      </c>
      <c r="E70" s="84"/>
      <c r="F70" s="84"/>
      <c r="G70" s="85"/>
    </row>
    <row r="71" spans="1:7" ht="15" customHeight="1">
      <c r="A71" s="100" t="s">
        <v>49</v>
      </c>
      <c r="B71" s="613" t="s">
        <v>93</v>
      </c>
      <c r="C71" s="613"/>
      <c r="D71" s="84" t="s">
        <v>91</v>
      </c>
      <c r="E71" s="84"/>
      <c r="F71" s="84"/>
      <c r="G71" s="85">
        <f>E71*F71</f>
        <v>0</v>
      </c>
    </row>
    <row r="72" spans="1:7" ht="15" customHeight="1">
      <c r="A72" s="100" t="s">
        <v>19</v>
      </c>
      <c r="B72" s="613" t="s">
        <v>94</v>
      </c>
      <c r="C72" s="613"/>
      <c r="D72" s="84"/>
      <c r="E72" s="84"/>
      <c r="F72" s="84"/>
      <c r="G72" s="84"/>
    </row>
    <row r="73" spans="1:7" ht="15" customHeight="1">
      <c r="A73" s="100"/>
      <c r="B73" s="619" t="s">
        <v>95</v>
      </c>
      <c r="C73" s="619"/>
      <c r="D73" s="101" t="s">
        <v>96</v>
      </c>
      <c r="E73" s="101"/>
      <c r="F73" s="101"/>
      <c r="G73" s="101"/>
    </row>
    <row r="74" spans="1:7" ht="15" customHeight="1">
      <c r="A74" s="100"/>
      <c r="B74" s="619" t="s">
        <v>97</v>
      </c>
      <c r="C74" s="619"/>
      <c r="D74" s="101" t="s">
        <v>91</v>
      </c>
      <c r="E74" s="101"/>
      <c r="F74" s="101"/>
      <c r="G74" s="101"/>
    </row>
    <row r="75" spans="1:7" ht="15" customHeight="1">
      <c r="A75" s="100"/>
      <c r="B75" s="619" t="s">
        <v>98</v>
      </c>
      <c r="C75" s="619"/>
      <c r="D75" s="101" t="s">
        <v>85</v>
      </c>
      <c r="E75" s="101"/>
      <c r="F75" s="101"/>
      <c r="G75" s="42">
        <f>E73*E74*F75</f>
        <v>0</v>
      </c>
    </row>
    <row r="76" spans="1:7" ht="15" customHeight="1">
      <c r="A76" s="100" t="s">
        <v>54</v>
      </c>
      <c r="B76" s="613" t="s">
        <v>99</v>
      </c>
      <c r="C76" s="613"/>
      <c r="D76" s="101"/>
      <c r="E76" s="101"/>
      <c r="F76" s="101"/>
      <c r="G76" s="101"/>
    </row>
    <row r="77" spans="1:7" ht="15" customHeight="1">
      <c r="A77" s="100"/>
      <c r="B77" s="619" t="s">
        <v>97</v>
      </c>
      <c r="C77" s="619"/>
      <c r="D77" s="101" t="s">
        <v>91</v>
      </c>
      <c r="E77" s="101"/>
      <c r="F77" s="101"/>
      <c r="G77" s="101"/>
    </row>
    <row r="78" spans="1:7" ht="15" customHeight="1">
      <c r="A78" s="100"/>
      <c r="B78" s="619" t="s">
        <v>100</v>
      </c>
      <c r="C78" s="619"/>
      <c r="D78" s="101" t="s">
        <v>101</v>
      </c>
      <c r="E78" s="43"/>
      <c r="F78" s="41"/>
      <c r="G78" s="42">
        <f>E77*E78*F78</f>
        <v>0</v>
      </c>
    </row>
    <row r="79" spans="1:7" ht="15" customHeight="1">
      <c r="A79" s="100"/>
      <c r="B79" s="619" t="s">
        <v>102</v>
      </c>
      <c r="C79" s="619"/>
      <c r="D79" s="101" t="s">
        <v>91</v>
      </c>
      <c r="E79" s="41"/>
      <c r="F79" s="44"/>
      <c r="G79" s="42">
        <f>E77*F79</f>
        <v>0</v>
      </c>
    </row>
    <row r="80" spans="1:7" ht="14.25" customHeight="1">
      <c r="A80" s="620"/>
      <c r="B80" s="620"/>
      <c r="C80" s="620"/>
      <c r="D80" s="102"/>
      <c r="E80" s="102"/>
      <c r="F80" s="102"/>
      <c r="G80" s="102"/>
    </row>
    <row r="81" spans="1:7" ht="14.25">
      <c r="A81" s="620" t="s">
        <v>103</v>
      </c>
      <c r="B81" s="620"/>
      <c r="C81" s="620"/>
      <c r="D81" s="102"/>
      <c r="E81" s="102"/>
      <c r="F81" s="102"/>
      <c r="G81" s="102"/>
    </row>
    <row r="82" spans="1:7" ht="15" customHeight="1">
      <c r="A82" s="100"/>
      <c r="B82" s="619" t="s">
        <v>97</v>
      </c>
      <c r="C82" s="619"/>
      <c r="D82" s="101" t="s">
        <v>91</v>
      </c>
      <c r="E82" s="101">
        <v>18</v>
      </c>
      <c r="F82" s="101"/>
      <c r="G82" s="101"/>
    </row>
    <row r="83" spans="1:7" ht="15" customHeight="1">
      <c r="A83" s="100"/>
      <c r="B83" s="619" t="s">
        <v>104</v>
      </c>
      <c r="C83" s="619"/>
      <c r="D83" s="101" t="s">
        <v>101</v>
      </c>
      <c r="E83" s="101">
        <v>1.35</v>
      </c>
      <c r="F83" s="101">
        <v>1.68</v>
      </c>
      <c r="G83" s="103">
        <f>E82*E83*F83</f>
        <v>40.824</v>
      </c>
    </row>
    <row r="84" spans="1:7" ht="14.25" customHeight="1">
      <c r="A84" s="100"/>
      <c r="B84" s="619" t="s">
        <v>105</v>
      </c>
      <c r="C84" s="619"/>
      <c r="D84" s="101" t="s">
        <v>85</v>
      </c>
      <c r="E84" s="101"/>
      <c r="F84" s="101">
        <v>11.8</v>
      </c>
      <c r="G84" s="103">
        <f>E82*F84</f>
        <v>212.4</v>
      </c>
    </row>
    <row r="85" spans="1:7" ht="15" customHeight="1">
      <c r="A85" s="620"/>
      <c r="B85" s="620"/>
      <c r="C85" s="620"/>
      <c r="D85" s="102"/>
      <c r="E85" s="102"/>
      <c r="F85" s="102"/>
      <c r="G85" s="102"/>
    </row>
    <row r="86" spans="1:7" ht="14.25">
      <c r="A86" s="620" t="s">
        <v>106</v>
      </c>
      <c r="B86" s="620"/>
      <c r="C86" s="620"/>
      <c r="D86" s="102"/>
      <c r="E86" s="102"/>
      <c r="F86" s="102"/>
      <c r="G86" s="102"/>
    </row>
    <row r="87" spans="1:7" ht="15" customHeight="1">
      <c r="A87" s="100"/>
      <c r="B87" s="619" t="s">
        <v>97</v>
      </c>
      <c r="C87" s="619"/>
      <c r="D87" s="101" t="s">
        <v>91</v>
      </c>
      <c r="E87" s="101">
        <v>10</v>
      </c>
      <c r="F87" s="101"/>
      <c r="G87" s="101"/>
    </row>
    <row r="88" spans="1:7" ht="15" customHeight="1">
      <c r="A88" s="100"/>
      <c r="B88" s="619" t="s">
        <v>104</v>
      </c>
      <c r="C88" s="619"/>
      <c r="D88" s="101" t="s">
        <v>101</v>
      </c>
      <c r="E88" s="101">
        <v>0.5</v>
      </c>
      <c r="F88" s="101">
        <v>1.68</v>
      </c>
      <c r="G88" s="103">
        <f>E87*E88*F88</f>
        <v>8.4</v>
      </c>
    </row>
    <row r="89" spans="1:7" ht="14.25" customHeight="1">
      <c r="A89" s="100"/>
      <c r="B89" s="619" t="s">
        <v>107</v>
      </c>
      <c r="C89" s="619"/>
      <c r="D89" s="101" t="s">
        <v>85</v>
      </c>
      <c r="E89" s="101"/>
      <c r="F89" s="101">
        <v>0.6</v>
      </c>
      <c r="G89" s="101">
        <f>E87*F89</f>
        <v>6</v>
      </c>
    </row>
    <row r="91" spans="1:7" ht="15.75">
      <c r="A91" s="620" t="s">
        <v>208</v>
      </c>
      <c r="B91" s="620"/>
      <c r="C91" s="620"/>
      <c r="D91" s="87"/>
      <c r="E91" s="87"/>
      <c r="F91" s="89"/>
      <c r="G91" s="89"/>
    </row>
    <row r="92" spans="1:7" ht="18.75" customHeight="1">
      <c r="A92" s="93"/>
      <c r="B92" s="621"/>
      <c r="C92" s="621"/>
      <c r="D92" s="84"/>
      <c r="E92" s="84"/>
      <c r="F92" s="84"/>
      <c r="G92" s="84"/>
    </row>
    <row r="93" spans="1:7" ht="14.25">
      <c r="A93" s="93"/>
      <c r="B93" s="621"/>
      <c r="C93" s="621"/>
      <c r="D93" s="84"/>
      <c r="E93" s="84"/>
      <c r="F93" s="84"/>
      <c r="G93" s="84"/>
    </row>
    <row r="94" spans="1:7" ht="14.25">
      <c r="A94" s="93"/>
      <c r="B94" s="587"/>
      <c r="C94" s="588"/>
      <c r="D94" s="84"/>
      <c r="E94" s="94"/>
      <c r="F94" s="84"/>
      <c r="G94" s="85">
        <f>SUM(G92:G93)</f>
        <v>0</v>
      </c>
    </row>
    <row r="95" spans="1:7" ht="14.25" customHeight="1">
      <c r="A95" s="84"/>
      <c r="B95" s="587" t="s">
        <v>108</v>
      </c>
      <c r="C95" s="588"/>
      <c r="D95" s="84"/>
      <c r="E95" s="94"/>
      <c r="F95" s="84"/>
      <c r="G95" s="85">
        <f>SUM(G69:G94)</f>
        <v>267.62399999999997</v>
      </c>
    </row>
    <row r="96" spans="1:7" ht="12.75">
      <c r="A96" s="104"/>
      <c r="B96" s="104"/>
      <c r="C96" s="104"/>
      <c r="D96" s="104"/>
      <c r="E96" s="104"/>
      <c r="F96" s="104"/>
      <c r="G96" s="104"/>
    </row>
    <row r="97" ht="15" thickBot="1">
      <c r="A97" s="76" t="s">
        <v>110</v>
      </c>
    </row>
    <row r="98" spans="1:7" ht="26.25" customHeight="1">
      <c r="A98" s="96" t="s">
        <v>37</v>
      </c>
      <c r="B98" s="105" t="s">
        <v>38</v>
      </c>
      <c r="C98" s="106"/>
      <c r="D98" s="77" t="s">
        <v>39</v>
      </c>
      <c r="E98" s="78" t="s">
        <v>207</v>
      </c>
      <c r="F98" s="78" t="s">
        <v>58</v>
      </c>
      <c r="G98" s="78" t="s">
        <v>59</v>
      </c>
    </row>
    <row r="99" spans="1:7" ht="15" customHeight="1">
      <c r="A99" s="84" t="s">
        <v>9</v>
      </c>
      <c r="B99" s="613" t="s">
        <v>111</v>
      </c>
      <c r="C99" s="613"/>
      <c r="D99" s="101" t="s">
        <v>91</v>
      </c>
      <c r="E99" s="101"/>
      <c r="F99" s="101"/>
      <c r="G99" s="84">
        <f>E99*F99</f>
        <v>0</v>
      </c>
    </row>
    <row r="100" spans="1:7" ht="15" customHeight="1">
      <c r="A100" s="84" t="s">
        <v>45</v>
      </c>
      <c r="B100" s="613" t="s">
        <v>112</v>
      </c>
      <c r="C100" s="613"/>
      <c r="D100" s="101" t="s">
        <v>91</v>
      </c>
      <c r="E100" s="101"/>
      <c r="F100" s="101"/>
      <c r="G100" s="84">
        <f>E100*F100</f>
        <v>0</v>
      </c>
    </row>
    <row r="101" spans="1:7" ht="15" customHeight="1">
      <c r="A101" s="84" t="s">
        <v>14</v>
      </c>
      <c r="B101" s="613" t="s">
        <v>113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49</v>
      </c>
      <c r="B102" s="613" t="s">
        <v>94</v>
      </c>
      <c r="C102" s="613"/>
      <c r="D102" s="101"/>
      <c r="E102" s="101"/>
      <c r="F102" s="101"/>
      <c r="G102" s="101"/>
    </row>
    <row r="103" spans="1:7" ht="15" customHeight="1">
      <c r="A103" s="84"/>
      <c r="B103" s="619" t="s">
        <v>95</v>
      </c>
      <c r="C103" s="619"/>
      <c r="D103" s="101" t="s">
        <v>96</v>
      </c>
      <c r="E103" s="101">
        <v>1</v>
      </c>
      <c r="F103" s="101"/>
      <c r="G103" s="101"/>
    </row>
    <row r="104" spans="1:7" ht="15" customHeight="1">
      <c r="A104" s="84"/>
      <c r="B104" s="619" t="s">
        <v>97</v>
      </c>
      <c r="C104" s="619"/>
      <c r="D104" s="101" t="s">
        <v>91</v>
      </c>
      <c r="E104" s="101">
        <v>16</v>
      </c>
      <c r="F104" s="101"/>
      <c r="G104" s="101"/>
    </row>
    <row r="105" spans="1:7" ht="15" customHeight="1">
      <c r="A105" s="84"/>
      <c r="B105" s="619" t="s">
        <v>114</v>
      </c>
      <c r="C105" s="619"/>
      <c r="D105" s="101" t="s">
        <v>85</v>
      </c>
      <c r="E105" s="101"/>
      <c r="F105" s="101">
        <v>16.04</v>
      </c>
      <c r="G105" s="103">
        <f>E103*E104*F105</f>
        <v>256.64</v>
      </c>
    </row>
    <row r="106" spans="1:7" ht="15" customHeight="1">
      <c r="A106" s="84" t="s">
        <v>19</v>
      </c>
      <c r="B106" s="630" t="s">
        <v>115</v>
      </c>
      <c r="C106" s="630"/>
      <c r="D106" s="101"/>
      <c r="E106" s="101"/>
      <c r="F106" s="101"/>
      <c r="G106" s="101"/>
    </row>
    <row r="107" spans="1:7" ht="15" customHeight="1">
      <c r="A107" s="84"/>
      <c r="B107" s="619" t="s">
        <v>116</v>
      </c>
      <c r="C107" s="619"/>
      <c r="D107" s="101" t="s">
        <v>117</v>
      </c>
      <c r="E107" s="101"/>
      <c r="F107" s="101"/>
      <c r="G107" s="101"/>
    </row>
    <row r="108" spans="1:7" ht="15" customHeight="1">
      <c r="A108" s="84"/>
      <c r="B108" s="619" t="s">
        <v>118</v>
      </c>
      <c r="C108" s="619"/>
      <c r="D108" s="101" t="s">
        <v>85</v>
      </c>
      <c r="E108" s="101"/>
      <c r="F108" s="107"/>
      <c r="G108" s="103">
        <f>E107*E108*F108</f>
        <v>0</v>
      </c>
    </row>
    <row r="109" spans="1:7" ht="15" customHeight="1">
      <c r="A109" s="84" t="s">
        <v>54</v>
      </c>
      <c r="B109" s="630" t="s">
        <v>119</v>
      </c>
      <c r="C109" s="630"/>
      <c r="D109" s="101"/>
      <c r="E109" s="101"/>
      <c r="F109" s="101"/>
      <c r="G109" s="101"/>
    </row>
    <row r="110" spans="1:7" ht="15" customHeight="1">
      <c r="A110" s="84"/>
      <c r="B110" s="619" t="s">
        <v>120</v>
      </c>
      <c r="C110" s="619"/>
      <c r="D110" s="101" t="s">
        <v>117</v>
      </c>
      <c r="E110" s="101"/>
      <c r="F110" s="101"/>
      <c r="G110" s="101"/>
    </row>
    <row r="111" spans="1:7" ht="15" customHeight="1">
      <c r="A111" s="84"/>
      <c r="B111" s="619" t="s">
        <v>121</v>
      </c>
      <c r="C111" s="619"/>
      <c r="D111" s="101" t="s">
        <v>85</v>
      </c>
      <c r="E111" s="101"/>
      <c r="F111" s="101"/>
      <c r="G111" s="101">
        <f>E110*E111*F111</f>
        <v>0</v>
      </c>
    </row>
    <row r="112" spans="1:7" ht="15" customHeight="1">
      <c r="A112" s="84" t="s">
        <v>22</v>
      </c>
      <c r="B112" s="630" t="s">
        <v>99</v>
      </c>
      <c r="C112" s="630"/>
      <c r="D112" s="101"/>
      <c r="E112" s="101"/>
      <c r="F112" s="101"/>
      <c r="G112" s="101"/>
    </row>
    <row r="113" spans="1:7" ht="15" customHeight="1">
      <c r="A113" s="84"/>
      <c r="B113" s="619" t="s">
        <v>97</v>
      </c>
      <c r="C113" s="619"/>
      <c r="D113" s="101" t="s">
        <v>91</v>
      </c>
      <c r="E113" s="101">
        <v>16</v>
      </c>
      <c r="F113" s="101"/>
      <c r="G113" s="101"/>
    </row>
    <row r="114" spans="1:7" ht="15" customHeight="1">
      <c r="A114" s="84"/>
      <c r="B114" s="619" t="s">
        <v>102</v>
      </c>
      <c r="C114" s="619"/>
      <c r="D114" s="101" t="s">
        <v>85</v>
      </c>
      <c r="E114" s="101"/>
      <c r="F114" s="101">
        <v>3.71</v>
      </c>
      <c r="G114" s="103">
        <f>E113*F114</f>
        <v>59.36</v>
      </c>
    </row>
    <row r="115" spans="1:7" ht="14.25" customHeight="1">
      <c r="A115" s="84" t="s">
        <v>72</v>
      </c>
      <c r="B115" s="613" t="s">
        <v>122</v>
      </c>
      <c r="C115" s="613"/>
      <c r="D115" s="101" t="s">
        <v>91</v>
      </c>
      <c r="E115" s="101"/>
      <c r="F115" s="101"/>
      <c r="G115" s="101">
        <f>E115*F115</f>
        <v>0</v>
      </c>
    </row>
    <row r="116" spans="1:7" ht="14.25" customHeight="1">
      <c r="A116" s="84"/>
      <c r="B116" s="587" t="s">
        <v>123</v>
      </c>
      <c r="C116" s="588"/>
      <c r="D116" s="84"/>
      <c r="E116" s="94"/>
      <c r="F116" s="84"/>
      <c r="G116" s="85">
        <f>SUM(G99:G115)</f>
        <v>316</v>
      </c>
    </row>
    <row r="117" ht="14.25">
      <c r="A117" s="67"/>
    </row>
    <row r="118" ht="14.25">
      <c r="A118" s="76" t="s">
        <v>124</v>
      </c>
    </row>
    <row r="119" ht="15" thickBot="1">
      <c r="A119" s="76"/>
    </row>
    <row r="120" spans="1:9" ht="29.25" customHeight="1">
      <c r="A120" s="96" t="s">
        <v>37</v>
      </c>
      <c r="B120" s="105" t="s">
        <v>38</v>
      </c>
      <c r="C120" s="106"/>
      <c r="D120" s="77" t="s">
        <v>39</v>
      </c>
      <c r="E120" s="108" t="s">
        <v>207</v>
      </c>
      <c r="F120" s="78" t="s">
        <v>58</v>
      </c>
      <c r="G120" s="78" t="s">
        <v>59</v>
      </c>
      <c r="H120" s="109"/>
      <c r="I120" s="110"/>
    </row>
    <row r="121" spans="1:9" ht="15" customHeight="1">
      <c r="A121" s="84" t="s">
        <v>9</v>
      </c>
      <c r="B121" s="613" t="s">
        <v>125</v>
      </c>
      <c r="C121" s="613"/>
      <c r="D121" s="101" t="s">
        <v>96</v>
      </c>
      <c r="E121" s="101">
        <v>1</v>
      </c>
      <c r="F121" s="101"/>
      <c r="G121" s="101"/>
      <c r="H121" s="89"/>
      <c r="I121" s="110"/>
    </row>
    <row r="122" spans="1:9" ht="15" customHeight="1">
      <c r="A122" s="84" t="s">
        <v>45</v>
      </c>
      <c r="B122" s="613" t="s">
        <v>126</v>
      </c>
      <c r="C122" s="613"/>
      <c r="D122" s="101" t="s">
        <v>127</v>
      </c>
      <c r="E122" s="101">
        <v>50</v>
      </c>
      <c r="F122" s="101"/>
      <c r="G122" s="101"/>
      <c r="H122" s="89"/>
      <c r="I122" s="110"/>
    </row>
    <row r="123" spans="1:9" ht="26.25" customHeight="1">
      <c r="A123" s="84" t="s">
        <v>14</v>
      </c>
      <c r="B123" s="613" t="s">
        <v>128</v>
      </c>
      <c r="C123" s="613"/>
      <c r="D123" s="101" t="s">
        <v>129</v>
      </c>
      <c r="E123" s="101"/>
      <c r="F123" s="107"/>
      <c r="G123" s="103">
        <f>E121*E123*F123</f>
        <v>0</v>
      </c>
      <c r="H123" s="89"/>
      <c r="I123" s="110"/>
    </row>
    <row r="124" spans="1:9" ht="14.25" customHeight="1">
      <c r="A124" s="84" t="s">
        <v>49</v>
      </c>
      <c r="B124" s="613" t="s">
        <v>130</v>
      </c>
      <c r="C124" s="613"/>
      <c r="D124" s="101" t="s">
        <v>131</v>
      </c>
      <c r="E124" s="101"/>
      <c r="F124" s="101"/>
      <c r="G124" s="101"/>
      <c r="H124" s="89"/>
      <c r="I124" s="110"/>
    </row>
    <row r="125" spans="1:9" ht="15" customHeight="1">
      <c r="A125" s="84"/>
      <c r="B125" s="613" t="s">
        <v>132</v>
      </c>
      <c r="C125" s="613"/>
      <c r="D125" s="101" t="s">
        <v>131</v>
      </c>
      <c r="E125" s="101"/>
      <c r="F125" s="101"/>
      <c r="G125" s="101">
        <f>E125*F125</f>
        <v>0</v>
      </c>
      <c r="H125" s="89"/>
      <c r="I125" s="110"/>
    </row>
    <row r="126" spans="1:9" ht="15">
      <c r="A126" s="84"/>
      <c r="B126" s="613" t="s">
        <v>133</v>
      </c>
      <c r="C126" s="613"/>
      <c r="D126" s="101" t="s">
        <v>131</v>
      </c>
      <c r="E126" s="342">
        <f>6.6/100*E122</f>
        <v>3.3000000000000003</v>
      </c>
      <c r="F126" s="111">
        <v>15.83</v>
      </c>
      <c r="G126" s="103">
        <f>E126*F126</f>
        <v>52.239000000000004</v>
      </c>
      <c r="H126" s="89"/>
      <c r="I126" s="110"/>
    </row>
    <row r="127" spans="1:9" ht="15">
      <c r="A127" s="84"/>
      <c r="B127" s="613" t="s">
        <v>134</v>
      </c>
      <c r="C127" s="613"/>
      <c r="D127" s="101" t="s">
        <v>131</v>
      </c>
      <c r="E127" s="101"/>
      <c r="F127" s="101"/>
      <c r="G127" s="101">
        <f>E127*F127</f>
        <v>0</v>
      </c>
      <c r="H127" s="89"/>
      <c r="I127" s="110"/>
    </row>
    <row r="128" spans="1:9" ht="15">
      <c r="A128" s="84"/>
      <c r="B128" s="587" t="s">
        <v>135</v>
      </c>
      <c r="C128" s="588"/>
      <c r="D128" s="84"/>
      <c r="E128" s="94"/>
      <c r="F128" s="84"/>
      <c r="G128" s="85">
        <f>SUM(G121:G127)</f>
        <v>52.239000000000004</v>
      </c>
      <c r="H128" s="89"/>
      <c r="I128" s="110"/>
    </row>
    <row r="129" spans="1:9" ht="12.75">
      <c r="A129" s="104"/>
      <c r="B129" s="104"/>
      <c r="C129" s="104"/>
      <c r="D129" s="104"/>
      <c r="E129" s="104"/>
      <c r="F129" s="104"/>
      <c r="G129" s="104"/>
      <c r="H129" s="104"/>
      <c r="I129" s="104"/>
    </row>
    <row r="130" ht="15" thickBot="1">
      <c r="A130" s="76" t="s">
        <v>136</v>
      </c>
    </row>
    <row r="131" spans="1:7" ht="28.5" customHeight="1">
      <c r="A131" s="96" t="s">
        <v>37</v>
      </c>
      <c r="B131" s="105" t="s">
        <v>38</v>
      </c>
      <c r="C131" s="106"/>
      <c r="D131" s="78" t="s">
        <v>39</v>
      </c>
      <c r="E131" s="78" t="s">
        <v>207</v>
      </c>
      <c r="F131" s="78" t="s">
        <v>58</v>
      </c>
      <c r="G131" s="78" t="s">
        <v>59</v>
      </c>
    </row>
    <row r="132" spans="1:7" ht="14.25" customHeight="1">
      <c r="A132" s="84" t="s">
        <v>9</v>
      </c>
      <c r="B132" s="613" t="s">
        <v>137</v>
      </c>
      <c r="C132" s="613"/>
      <c r="D132" s="84" t="s">
        <v>138</v>
      </c>
      <c r="E132" s="101">
        <v>3</v>
      </c>
      <c r="F132" s="101"/>
      <c r="G132" s="101"/>
    </row>
    <row r="133" spans="1:7" ht="14.25" customHeight="1">
      <c r="A133" s="84" t="s">
        <v>45</v>
      </c>
      <c r="B133" s="613" t="s">
        <v>139</v>
      </c>
      <c r="C133" s="613"/>
      <c r="D133" s="622"/>
      <c r="E133" s="622"/>
      <c r="F133" s="622"/>
      <c r="G133" s="622"/>
    </row>
    <row r="134" spans="1:7" ht="14.25" customHeight="1">
      <c r="A134" s="84" t="s">
        <v>14</v>
      </c>
      <c r="B134" s="613" t="s">
        <v>140</v>
      </c>
      <c r="C134" s="613"/>
      <c r="D134" s="622"/>
      <c r="E134" s="622"/>
      <c r="F134" s="622"/>
      <c r="G134" s="622"/>
    </row>
    <row r="135" spans="1:7" ht="15" customHeight="1">
      <c r="A135" s="84" t="s">
        <v>49</v>
      </c>
      <c r="B135" s="613" t="s">
        <v>141</v>
      </c>
      <c r="C135" s="613"/>
      <c r="D135" s="84" t="s">
        <v>138</v>
      </c>
      <c r="E135" s="101">
        <v>1</v>
      </c>
      <c r="F135" s="101">
        <v>25</v>
      </c>
      <c r="G135" s="101">
        <f>E135*F135*E132</f>
        <v>75</v>
      </c>
    </row>
    <row r="136" spans="1:7" ht="15" customHeight="1">
      <c r="A136" s="84" t="s">
        <v>19</v>
      </c>
      <c r="B136" s="613" t="s">
        <v>142</v>
      </c>
      <c r="C136" s="613"/>
      <c r="D136" s="84" t="s">
        <v>138</v>
      </c>
      <c r="E136" s="101">
        <v>2</v>
      </c>
      <c r="F136" s="101">
        <v>150</v>
      </c>
      <c r="G136" s="101">
        <f>E136*F136*E132</f>
        <v>900</v>
      </c>
    </row>
    <row r="137" spans="1:7" ht="15" customHeight="1">
      <c r="A137" s="84" t="s">
        <v>54</v>
      </c>
      <c r="B137" s="613" t="s">
        <v>143</v>
      </c>
      <c r="C137" s="613"/>
      <c r="D137" s="84" t="s">
        <v>85</v>
      </c>
      <c r="E137" s="101"/>
      <c r="F137" s="101"/>
      <c r="G137" s="101">
        <f>E132*F137</f>
        <v>0</v>
      </c>
    </row>
    <row r="138" spans="1:7" ht="15" customHeight="1">
      <c r="A138" s="84" t="s">
        <v>22</v>
      </c>
      <c r="B138" s="613" t="s">
        <v>144</v>
      </c>
      <c r="C138" s="613"/>
      <c r="D138" s="84" t="s">
        <v>85</v>
      </c>
      <c r="E138" s="101"/>
      <c r="F138" s="101"/>
      <c r="G138" s="101">
        <f>E132*F138</f>
        <v>0</v>
      </c>
    </row>
    <row r="139" spans="1:7" ht="15" customHeight="1">
      <c r="A139" s="84" t="s">
        <v>72</v>
      </c>
      <c r="B139" s="613" t="s">
        <v>145</v>
      </c>
      <c r="C139" s="613"/>
      <c r="D139" s="84" t="s">
        <v>85</v>
      </c>
      <c r="E139" s="101"/>
      <c r="F139" s="101"/>
      <c r="G139" s="101">
        <f>E132*F139</f>
        <v>0</v>
      </c>
    </row>
    <row r="140" spans="1:7" ht="15" customHeight="1">
      <c r="A140" s="84" t="s">
        <v>26</v>
      </c>
      <c r="B140" s="613" t="s">
        <v>146</v>
      </c>
      <c r="C140" s="613"/>
      <c r="D140" s="84" t="s">
        <v>85</v>
      </c>
      <c r="E140" s="101"/>
      <c r="F140" s="101"/>
      <c r="G140" s="101">
        <f>F140</f>
        <v>0</v>
      </c>
    </row>
    <row r="141" spans="1:7" ht="14.25">
      <c r="A141" s="84"/>
      <c r="B141" s="587" t="s">
        <v>147</v>
      </c>
      <c r="C141" s="588"/>
      <c r="D141" s="84"/>
      <c r="E141" s="94"/>
      <c r="F141" s="84"/>
      <c r="G141" s="85">
        <f>SUM(G135:G140)</f>
        <v>975</v>
      </c>
    </row>
    <row r="142" ht="14.25">
      <c r="A142" s="67"/>
    </row>
    <row r="143" ht="14.25">
      <c r="A143" s="67"/>
    </row>
    <row r="144" ht="14.25">
      <c r="A144" s="76" t="s">
        <v>148</v>
      </c>
    </row>
    <row r="145" ht="15" thickBot="1">
      <c r="A145" s="76"/>
    </row>
    <row r="146" spans="1:7" ht="28.5" customHeight="1">
      <c r="A146" s="96" t="s">
        <v>37</v>
      </c>
      <c r="B146" s="598" t="s">
        <v>38</v>
      </c>
      <c r="C146" s="599"/>
      <c r="D146" s="77" t="s">
        <v>39</v>
      </c>
      <c r="E146" s="78" t="s">
        <v>207</v>
      </c>
      <c r="F146" s="78" t="s">
        <v>58</v>
      </c>
      <c r="G146" s="78" t="s">
        <v>59</v>
      </c>
    </row>
    <row r="147" spans="1:7" ht="14.25" customHeight="1">
      <c r="A147" s="84" t="s">
        <v>9</v>
      </c>
      <c r="B147" s="613" t="s">
        <v>149</v>
      </c>
      <c r="C147" s="613"/>
      <c r="D147" s="84" t="s">
        <v>85</v>
      </c>
      <c r="E147" s="101"/>
      <c r="F147" s="101"/>
      <c r="G147" s="101">
        <v>100</v>
      </c>
    </row>
    <row r="148" spans="1:7" ht="14.25" customHeight="1">
      <c r="A148" s="84" t="s">
        <v>45</v>
      </c>
      <c r="B148" s="613" t="s">
        <v>150</v>
      </c>
      <c r="C148" s="613"/>
      <c r="D148" s="84" t="s">
        <v>85</v>
      </c>
      <c r="E148" s="101"/>
      <c r="F148" s="101"/>
      <c r="G148" s="101">
        <v>100</v>
      </c>
    </row>
    <row r="149" spans="1:7" ht="15" customHeight="1">
      <c r="A149" s="84" t="s">
        <v>14</v>
      </c>
      <c r="B149" s="613" t="s">
        <v>274</v>
      </c>
      <c r="C149" s="613"/>
      <c r="D149" s="84" t="s">
        <v>96</v>
      </c>
      <c r="E149" s="107">
        <f>5/24</f>
        <v>0.20833333333333334</v>
      </c>
      <c r="F149" s="101">
        <v>271.78</v>
      </c>
      <c r="G149" s="103">
        <f aca="true" t="shared" si="2" ref="G149:G154">E149*F149</f>
        <v>56.62083333333333</v>
      </c>
    </row>
    <row r="150" spans="1:7" ht="14.25">
      <c r="A150" s="84" t="s">
        <v>49</v>
      </c>
      <c r="B150" s="613" t="s">
        <v>152</v>
      </c>
      <c r="C150" s="613"/>
      <c r="D150" s="84" t="s">
        <v>96</v>
      </c>
      <c r="E150" s="101">
        <v>1</v>
      </c>
      <c r="F150" s="101">
        <v>14</v>
      </c>
      <c r="G150" s="101">
        <f t="shared" si="2"/>
        <v>14</v>
      </c>
    </row>
    <row r="151" spans="1:7" ht="15" customHeight="1">
      <c r="A151" s="84" t="s">
        <v>19</v>
      </c>
      <c r="B151" s="613" t="s">
        <v>153</v>
      </c>
      <c r="C151" s="613"/>
      <c r="D151" s="84"/>
      <c r="E151" s="101"/>
      <c r="F151" s="101"/>
      <c r="G151" s="101">
        <f t="shared" si="2"/>
        <v>0</v>
      </c>
    </row>
    <row r="152" spans="1:7" ht="15" customHeight="1">
      <c r="A152" s="84" t="s">
        <v>54</v>
      </c>
      <c r="B152" s="613" t="s">
        <v>154</v>
      </c>
      <c r="C152" s="613"/>
      <c r="D152" s="84"/>
      <c r="E152" s="101"/>
      <c r="F152" s="101"/>
      <c r="G152" s="101"/>
    </row>
    <row r="153" spans="1:7" ht="15" customHeight="1">
      <c r="A153" s="84" t="s">
        <v>22</v>
      </c>
      <c r="B153" s="613" t="s">
        <v>155</v>
      </c>
      <c r="C153" s="613"/>
      <c r="D153" s="84"/>
      <c r="E153" s="101"/>
      <c r="F153" s="101"/>
      <c r="G153" s="101"/>
    </row>
    <row r="154" spans="1:7" ht="15" customHeight="1">
      <c r="A154" s="84" t="s">
        <v>72</v>
      </c>
      <c r="B154" s="613" t="s">
        <v>156</v>
      </c>
      <c r="C154" s="613"/>
      <c r="D154" s="84"/>
      <c r="E154" s="101"/>
      <c r="F154" s="101"/>
      <c r="G154" s="101">
        <f t="shared" si="2"/>
        <v>0</v>
      </c>
    </row>
    <row r="155" spans="1:7" ht="27.75" customHeight="1">
      <c r="A155" s="84" t="s">
        <v>26</v>
      </c>
      <c r="B155" s="613" t="s">
        <v>289</v>
      </c>
      <c r="C155" s="613"/>
      <c r="D155" s="84" t="s">
        <v>85</v>
      </c>
      <c r="E155" s="101"/>
      <c r="F155" s="101"/>
      <c r="G155" s="101"/>
    </row>
    <row r="156" spans="1:7" ht="15" customHeight="1">
      <c r="A156" s="84"/>
      <c r="B156" s="587" t="s">
        <v>158</v>
      </c>
      <c r="C156" s="588"/>
      <c r="D156" s="84"/>
      <c r="E156" s="94"/>
      <c r="F156" s="84"/>
      <c r="G156" s="85">
        <f>SUM(G147:G155)</f>
        <v>270.62083333333334</v>
      </c>
    </row>
    <row r="157" ht="14.25">
      <c r="A157" s="67"/>
    </row>
    <row r="158" ht="14.25">
      <c r="A158" s="76" t="s">
        <v>159</v>
      </c>
    </row>
    <row r="159" ht="15" thickBot="1">
      <c r="A159" s="76"/>
    </row>
    <row r="160" spans="1:7" ht="28.5" customHeight="1">
      <c r="A160" s="623" t="s">
        <v>37</v>
      </c>
      <c r="B160" s="598" t="s">
        <v>38</v>
      </c>
      <c r="C160" s="599"/>
      <c r="D160" s="77" t="s">
        <v>39</v>
      </c>
      <c r="E160" s="78" t="s">
        <v>207</v>
      </c>
      <c r="F160" s="78" t="s">
        <v>58</v>
      </c>
      <c r="G160" s="78" t="s">
        <v>59</v>
      </c>
    </row>
    <row r="161" spans="1:7" ht="15" customHeight="1">
      <c r="A161" s="624"/>
      <c r="B161" s="600"/>
      <c r="C161" s="612"/>
      <c r="D161" s="112"/>
      <c r="E161" s="113"/>
      <c r="F161" s="113"/>
      <c r="G161" s="113"/>
    </row>
    <row r="162" spans="1:7" ht="15" customHeight="1">
      <c r="A162" s="84" t="s">
        <v>9</v>
      </c>
      <c r="B162" s="622" t="s">
        <v>160</v>
      </c>
      <c r="C162" s="622"/>
      <c r="D162" s="84" t="s">
        <v>85</v>
      </c>
      <c r="E162" s="84"/>
      <c r="F162" s="84"/>
      <c r="G162" s="84">
        <f>E162*F162</f>
        <v>0</v>
      </c>
    </row>
    <row r="163" spans="1:7" ht="15" customHeight="1">
      <c r="A163" s="84"/>
      <c r="B163" s="618"/>
      <c r="C163" s="618"/>
      <c r="D163" s="84"/>
      <c r="E163" s="84"/>
      <c r="F163" s="84"/>
      <c r="G163" s="84"/>
    </row>
    <row r="164" spans="1:7" ht="15" customHeight="1">
      <c r="A164" s="84"/>
      <c r="B164" s="587" t="s">
        <v>161</v>
      </c>
      <c r="C164" s="588"/>
      <c r="D164" s="84"/>
      <c r="E164" s="84"/>
      <c r="F164" s="84"/>
      <c r="G164" s="84">
        <f>SUM(G162:G163)</f>
        <v>0</v>
      </c>
    </row>
    <row r="165" ht="15" customHeight="1">
      <c r="A165" s="67"/>
    </row>
    <row r="166" ht="14.25">
      <c r="A166" s="76" t="s">
        <v>162</v>
      </c>
    </row>
    <row r="167" ht="15" thickBot="1">
      <c r="A167" s="76"/>
    </row>
    <row r="168" spans="1:7" ht="28.5" customHeight="1">
      <c r="A168" s="96" t="s">
        <v>37</v>
      </c>
      <c r="B168" s="598" t="s">
        <v>38</v>
      </c>
      <c r="C168" s="599"/>
      <c r="D168" s="77" t="s">
        <v>39</v>
      </c>
      <c r="E168" s="78" t="s">
        <v>207</v>
      </c>
      <c r="F168" s="78" t="s">
        <v>58</v>
      </c>
      <c r="G168" s="78" t="s">
        <v>59</v>
      </c>
    </row>
    <row r="169" spans="1:7" ht="14.25" customHeight="1">
      <c r="A169" s="84" t="s">
        <v>9</v>
      </c>
      <c r="B169" s="613" t="s">
        <v>163</v>
      </c>
      <c r="C169" s="613"/>
      <c r="D169" s="84"/>
      <c r="E169" s="84"/>
      <c r="F169" s="84"/>
      <c r="G169" s="84"/>
    </row>
    <row r="170" spans="1:7" ht="14.25" customHeight="1">
      <c r="A170" s="84"/>
      <c r="B170" s="613" t="s">
        <v>164</v>
      </c>
      <c r="C170" s="613"/>
      <c r="D170" s="84" t="s">
        <v>165</v>
      </c>
      <c r="E170" s="101" t="s">
        <v>232</v>
      </c>
      <c r="F170" s="101">
        <v>77</v>
      </c>
      <c r="G170" s="101">
        <f>10*77</f>
        <v>770</v>
      </c>
    </row>
    <row r="171" spans="1:7" ht="14.25" customHeight="1">
      <c r="A171" s="84"/>
      <c r="B171" s="613" t="s">
        <v>167</v>
      </c>
      <c r="C171" s="613"/>
      <c r="D171" s="84" t="s">
        <v>165</v>
      </c>
      <c r="E171" s="101" t="s">
        <v>232</v>
      </c>
      <c r="F171" s="101">
        <v>77</v>
      </c>
      <c r="G171" s="101">
        <f>10*77</f>
        <v>770</v>
      </c>
    </row>
    <row r="172" spans="1:7" ht="14.25" customHeight="1">
      <c r="A172" s="84"/>
      <c r="B172" s="613" t="s">
        <v>168</v>
      </c>
      <c r="C172" s="613"/>
      <c r="D172" s="84" t="s">
        <v>165</v>
      </c>
      <c r="E172" s="101"/>
      <c r="F172" s="101"/>
      <c r="G172" s="101">
        <f>5*F172</f>
        <v>0</v>
      </c>
    </row>
    <row r="173" spans="1:7" ht="29.25" customHeight="1">
      <c r="A173" s="84" t="s">
        <v>45</v>
      </c>
      <c r="B173" s="613" t="s">
        <v>170</v>
      </c>
      <c r="C173" s="613"/>
      <c r="D173" s="84" t="s">
        <v>165</v>
      </c>
      <c r="E173" s="101"/>
      <c r="F173" s="101"/>
      <c r="G173" s="101">
        <f aca="true" t="shared" si="3" ref="G173:G179">E173*F173</f>
        <v>0</v>
      </c>
    </row>
    <row r="174" spans="1:7" ht="15" customHeight="1">
      <c r="A174" s="84" t="s">
        <v>14</v>
      </c>
      <c r="B174" s="613" t="s">
        <v>171</v>
      </c>
      <c r="C174" s="613"/>
      <c r="D174" s="84" t="s">
        <v>85</v>
      </c>
      <c r="E174" s="101"/>
      <c r="F174" s="101"/>
      <c r="G174" s="101">
        <f t="shared" si="3"/>
        <v>0</v>
      </c>
    </row>
    <row r="175" spans="1:9" ht="15" customHeight="1">
      <c r="A175" s="84" t="s">
        <v>49</v>
      </c>
      <c r="B175" s="613" t="s">
        <v>172</v>
      </c>
      <c r="C175" s="613"/>
      <c r="D175" s="84" t="s">
        <v>91</v>
      </c>
      <c r="E175" s="101"/>
      <c r="F175" s="160"/>
      <c r="G175" s="156">
        <f>6/60*F175</f>
        <v>0</v>
      </c>
      <c r="H175" s="119"/>
      <c r="I175" s="119"/>
    </row>
    <row r="176" spans="1:7" ht="15" customHeight="1">
      <c r="A176" s="84" t="s">
        <v>19</v>
      </c>
      <c r="B176" s="613" t="s">
        <v>174</v>
      </c>
      <c r="C176" s="613"/>
      <c r="D176" s="84" t="s">
        <v>43</v>
      </c>
      <c r="E176" s="101"/>
      <c r="F176" s="107"/>
      <c r="G176" s="103">
        <f>20/60*F176</f>
        <v>0</v>
      </c>
    </row>
    <row r="177" spans="1:9" ht="14.25" customHeight="1">
      <c r="A177" s="84" t="s">
        <v>54</v>
      </c>
      <c r="B177" s="613" t="s">
        <v>175</v>
      </c>
      <c r="C177" s="613"/>
      <c r="D177" s="84" t="s">
        <v>43</v>
      </c>
      <c r="E177" s="235"/>
      <c r="F177" s="322"/>
      <c r="G177" s="290">
        <f>5/60*F177</f>
        <v>0</v>
      </c>
      <c r="H177" s="243"/>
      <c r="I177" s="325"/>
    </row>
    <row r="178" spans="1:7" ht="14.25" customHeight="1">
      <c r="A178" s="84" t="s">
        <v>22</v>
      </c>
      <c r="B178" s="613" t="s">
        <v>176</v>
      </c>
      <c r="C178" s="613"/>
      <c r="D178" s="84" t="s">
        <v>43</v>
      </c>
      <c r="E178" s="101"/>
      <c r="F178" s="101"/>
      <c r="G178" s="101">
        <f t="shared" si="3"/>
        <v>0</v>
      </c>
    </row>
    <row r="179" spans="1:7" ht="15" customHeight="1">
      <c r="A179" s="84" t="s">
        <v>72</v>
      </c>
      <c r="B179" s="613" t="s">
        <v>209</v>
      </c>
      <c r="C179" s="613"/>
      <c r="D179" s="84" t="s">
        <v>85</v>
      </c>
      <c r="E179" s="101"/>
      <c r="F179" s="101"/>
      <c r="G179" s="101">
        <f t="shared" si="3"/>
        <v>0</v>
      </c>
    </row>
    <row r="180" spans="1:7" ht="15" customHeight="1">
      <c r="A180" s="84"/>
      <c r="B180" s="587" t="s">
        <v>177</v>
      </c>
      <c r="C180" s="588"/>
      <c r="D180" s="84"/>
      <c r="E180" s="84"/>
      <c r="F180" s="84"/>
      <c r="G180" s="85">
        <f>SUM(G170:G179)</f>
        <v>1540</v>
      </c>
    </row>
    <row r="181" ht="13.5" customHeight="1">
      <c r="A181" s="67"/>
    </row>
    <row r="182" ht="14.25">
      <c r="A182" s="76" t="s">
        <v>178</v>
      </c>
    </row>
    <row r="183" ht="15" thickBot="1">
      <c r="A183" s="76"/>
    </row>
    <row r="184" spans="1:7" ht="28.5" customHeight="1">
      <c r="A184" s="96" t="s">
        <v>37</v>
      </c>
      <c r="B184" s="598" t="s">
        <v>38</v>
      </c>
      <c r="C184" s="599"/>
      <c r="D184" s="77" t="s">
        <v>39</v>
      </c>
      <c r="E184" s="78" t="s">
        <v>207</v>
      </c>
      <c r="F184" s="78" t="s">
        <v>58</v>
      </c>
      <c r="G184" s="78" t="s">
        <v>59</v>
      </c>
    </row>
    <row r="185" spans="1:7" ht="15" customHeight="1">
      <c r="A185" s="84" t="s">
        <v>9</v>
      </c>
      <c r="B185" s="613" t="s">
        <v>179</v>
      </c>
      <c r="C185" s="613"/>
      <c r="D185" s="84" t="s">
        <v>180</v>
      </c>
      <c r="E185" s="101"/>
      <c r="F185" s="101"/>
      <c r="G185" s="101">
        <f>E185*F185</f>
        <v>0</v>
      </c>
    </row>
    <row r="186" spans="1:7" ht="15" customHeight="1">
      <c r="A186" s="84" t="s">
        <v>45</v>
      </c>
      <c r="B186" s="613" t="s">
        <v>181</v>
      </c>
      <c r="C186" s="613"/>
      <c r="D186" s="84" t="s">
        <v>180</v>
      </c>
      <c r="E186" s="101"/>
      <c r="F186" s="101"/>
      <c r="G186" s="101">
        <f>E186*F186</f>
        <v>0</v>
      </c>
    </row>
    <row r="187" spans="1:7" ht="15" customHeight="1">
      <c r="A187" s="84" t="s">
        <v>14</v>
      </c>
      <c r="B187" s="613" t="s">
        <v>182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/>
      <c r="B188" s="587" t="s">
        <v>183</v>
      </c>
      <c r="C188" s="588"/>
      <c r="D188" s="84"/>
      <c r="E188" s="84"/>
      <c r="F188" s="84"/>
      <c r="G188" s="85">
        <f>SUM(G185:G187)</f>
        <v>0</v>
      </c>
    </row>
    <row r="189" ht="14.25">
      <c r="A189" s="67"/>
    </row>
    <row r="190" ht="14.25">
      <c r="A190" s="67"/>
    </row>
    <row r="191" ht="14.25">
      <c r="A191" s="67" t="s">
        <v>184</v>
      </c>
    </row>
    <row r="192" ht="15" thickBot="1">
      <c r="A192" s="67"/>
    </row>
    <row r="193" spans="1:7" ht="28.5" customHeight="1">
      <c r="A193" s="96" t="s">
        <v>37</v>
      </c>
      <c r="B193" s="598" t="s">
        <v>38</v>
      </c>
      <c r="C193" s="599"/>
      <c r="D193" s="77" t="s">
        <v>39</v>
      </c>
      <c r="E193" s="78" t="s">
        <v>210</v>
      </c>
      <c r="F193" s="78" t="s">
        <v>58</v>
      </c>
      <c r="G193" s="78" t="s">
        <v>59</v>
      </c>
    </row>
    <row r="194" spans="1:7" ht="15" customHeight="1">
      <c r="A194" s="84" t="s">
        <v>9</v>
      </c>
      <c r="B194" s="613" t="s">
        <v>185</v>
      </c>
      <c r="C194" s="613"/>
      <c r="D194" s="84" t="s">
        <v>85</v>
      </c>
      <c r="E194" s="101">
        <v>0.75</v>
      </c>
      <c r="F194" s="101">
        <v>32.6</v>
      </c>
      <c r="G194" s="103">
        <f>E194*F194</f>
        <v>24.450000000000003</v>
      </c>
    </row>
    <row r="195" spans="1:7" ht="14.25" customHeight="1">
      <c r="A195" s="84" t="s">
        <v>45</v>
      </c>
      <c r="B195" s="613" t="s">
        <v>186</v>
      </c>
      <c r="C195" s="613"/>
      <c r="D195" s="84" t="s">
        <v>85</v>
      </c>
      <c r="E195" s="114"/>
      <c r="F195" s="44">
        <f>(1151.55+210.41+5.7+145.58)*1.2</f>
        <v>1815.888</v>
      </c>
      <c r="G195" s="103">
        <f>F195*E194</f>
        <v>1361.916</v>
      </c>
    </row>
    <row r="196" spans="1:7" ht="14.25" customHeight="1">
      <c r="A196" s="84" t="s">
        <v>14</v>
      </c>
      <c r="B196" s="613" t="s">
        <v>187</v>
      </c>
      <c r="C196" s="613"/>
      <c r="D196" s="84" t="s">
        <v>85</v>
      </c>
      <c r="E196" s="114"/>
      <c r="F196" s="114"/>
      <c r="G196" s="114"/>
    </row>
    <row r="197" spans="1:7" ht="14.25">
      <c r="A197" s="84" t="s">
        <v>49</v>
      </c>
      <c r="B197" s="613" t="s">
        <v>188</v>
      </c>
      <c r="C197" s="613"/>
      <c r="D197" s="84" t="s">
        <v>85</v>
      </c>
      <c r="E197" s="114"/>
      <c r="F197" s="114"/>
      <c r="G197" s="114"/>
    </row>
    <row r="198" spans="1:7" ht="15" customHeight="1">
      <c r="A198" s="84" t="s">
        <v>19</v>
      </c>
      <c r="B198" s="613" t="s">
        <v>189</v>
      </c>
      <c r="C198" s="613"/>
      <c r="D198" s="84" t="s">
        <v>85</v>
      </c>
      <c r="E198" s="114"/>
      <c r="F198" s="114"/>
      <c r="G198" s="114"/>
    </row>
    <row r="199" spans="1:10" ht="15" customHeight="1">
      <c r="A199" s="84" t="s">
        <v>54</v>
      </c>
      <c r="B199" s="613" t="s">
        <v>190</v>
      </c>
      <c r="C199" s="613"/>
      <c r="D199" s="84" t="s">
        <v>101</v>
      </c>
      <c r="E199" s="241">
        <f>J199/F199</f>
        <v>27.1122375502575</v>
      </c>
      <c r="F199" s="43">
        <v>1.68</v>
      </c>
      <c r="G199" s="240">
        <f>E199*F199</f>
        <v>45.5485590844326</v>
      </c>
      <c r="H199" s="54"/>
      <c r="I199" s="448">
        <f>1288300*0.4/8485.23</f>
        <v>60.7314121125768</v>
      </c>
      <c r="J199" s="448">
        <f>I199*E194</f>
        <v>45.5485590844326</v>
      </c>
    </row>
    <row r="200" spans="1:10" ht="15" customHeight="1">
      <c r="A200" s="84" t="s">
        <v>22</v>
      </c>
      <c r="B200" s="613" t="s">
        <v>191</v>
      </c>
      <c r="C200" s="613"/>
      <c r="D200" s="84" t="s">
        <v>192</v>
      </c>
      <c r="E200" s="446">
        <f>J200/F200</f>
        <v>0.15087453930809802</v>
      </c>
      <c r="F200" s="43">
        <f>987*1.2</f>
        <v>1184.3999999999999</v>
      </c>
      <c r="G200" s="240">
        <f>E200*F200</f>
        <v>178.69580435651127</v>
      </c>
      <c r="H200" s="54"/>
      <c r="I200" s="448">
        <f>2021700/8485.23</f>
        <v>238.26107247534836</v>
      </c>
      <c r="J200" s="448">
        <f>I200*E194</f>
        <v>178.69580435651127</v>
      </c>
    </row>
    <row r="201" spans="1:10" ht="15" customHeight="1">
      <c r="A201" s="84" t="s">
        <v>72</v>
      </c>
      <c r="B201" s="613" t="s">
        <v>193</v>
      </c>
      <c r="C201" s="613"/>
      <c r="D201" s="84" t="s">
        <v>85</v>
      </c>
      <c r="E201" s="447"/>
      <c r="F201" s="241">
        <f>(229000+16300)/8485.23</f>
        <v>28.909057267746427</v>
      </c>
      <c r="G201" s="240">
        <f>F201*E194</f>
        <v>21.68179295080982</v>
      </c>
      <c r="H201" s="54"/>
      <c r="I201" s="54"/>
      <c r="J201" s="54"/>
    </row>
    <row r="202" spans="1:10" ht="14.25" customHeight="1">
      <c r="A202" s="84" t="s">
        <v>26</v>
      </c>
      <c r="B202" s="613" t="s">
        <v>194</v>
      </c>
      <c r="C202" s="613"/>
      <c r="D202" s="84" t="s">
        <v>85</v>
      </c>
      <c r="E202" s="447"/>
      <c r="F202" s="43">
        <v>2693.4</v>
      </c>
      <c r="G202" s="240">
        <f>F202*E194</f>
        <v>2020.0500000000002</v>
      </c>
      <c r="H202" s="54"/>
      <c r="I202" s="54"/>
      <c r="J202" s="54"/>
    </row>
    <row r="203" spans="1:10" ht="15" customHeight="1">
      <c r="A203" s="84" t="s">
        <v>31</v>
      </c>
      <c r="B203" s="613" t="s">
        <v>195</v>
      </c>
      <c r="C203" s="613"/>
      <c r="D203" s="84" t="s">
        <v>85</v>
      </c>
      <c r="E203" s="447"/>
      <c r="F203" s="43">
        <v>300.6</v>
      </c>
      <c r="G203" s="240">
        <f>F203*E194</f>
        <v>225.45000000000002</v>
      </c>
      <c r="H203" s="54"/>
      <c r="I203" s="54"/>
      <c r="J203" s="54"/>
    </row>
    <row r="204" spans="1:10" ht="15" customHeight="1">
      <c r="A204" s="84" t="s">
        <v>79</v>
      </c>
      <c r="B204" s="613" t="s">
        <v>196</v>
      </c>
      <c r="C204" s="613"/>
      <c r="D204" s="84" t="s">
        <v>85</v>
      </c>
      <c r="E204" s="447"/>
      <c r="F204" s="43">
        <v>1242.8</v>
      </c>
      <c r="G204" s="240">
        <f>F204*E194</f>
        <v>932.0999999999999</v>
      </c>
      <c r="H204" s="54"/>
      <c r="I204" s="54"/>
      <c r="J204" s="54"/>
    </row>
    <row r="205" ht="14.25">
      <c r="A205" s="67"/>
    </row>
    <row r="206" ht="14.25">
      <c r="A206" s="67" t="s">
        <v>197</v>
      </c>
    </row>
    <row r="207" ht="15" thickBot="1">
      <c r="A207" s="76"/>
    </row>
    <row r="208" spans="1:7" ht="14.25" customHeight="1">
      <c r="A208" s="623" t="s">
        <v>37</v>
      </c>
      <c r="B208" s="598" t="s">
        <v>38</v>
      </c>
      <c r="C208" s="599"/>
      <c r="D208" s="77" t="s">
        <v>198</v>
      </c>
      <c r="E208" s="598" t="s">
        <v>59</v>
      </c>
      <c r="F208" s="616"/>
      <c r="G208" s="599"/>
    </row>
    <row r="209" spans="1:7" ht="14.25">
      <c r="A209" s="624"/>
      <c r="B209" s="600"/>
      <c r="C209" s="612"/>
      <c r="D209" s="112" t="s">
        <v>199</v>
      </c>
      <c r="E209" s="600"/>
      <c r="F209" s="617"/>
      <c r="G209" s="612"/>
    </row>
    <row r="210" spans="1:7" ht="15" customHeight="1">
      <c r="A210" s="84" t="s">
        <v>9</v>
      </c>
      <c r="B210" s="613" t="s">
        <v>200</v>
      </c>
      <c r="C210" s="613"/>
      <c r="D210" s="84" t="s">
        <v>85</v>
      </c>
      <c r="E210" s="614">
        <f>G44+G57+G61+G62+G95+G116+G128+G141+G156+G164+G180+G188</f>
        <v>6737.771809345327</v>
      </c>
      <c r="F210" s="615"/>
      <c r="G210" s="615"/>
    </row>
    <row r="211" spans="1:7" ht="15" customHeight="1">
      <c r="A211" s="84" t="s">
        <v>45</v>
      </c>
      <c r="B211" s="613" t="s">
        <v>201</v>
      </c>
      <c r="C211" s="613"/>
      <c r="D211" s="84" t="s">
        <v>85</v>
      </c>
      <c r="E211" s="614">
        <f>SUM(G194:G204)</f>
        <v>4809.892156391754</v>
      </c>
      <c r="F211" s="614"/>
      <c r="G211" s="614"/>
    </row>
    <row r="212" spans="1:7" ht="14.25">
      <c r="A212" s="84" t="s">
        <v>14</v>
      </c>
      <c r="B212" s="613" t="s">
        <v>202</v>
      </c>
      <c r="C212" s="613"/>
      <c r="D212" s="84" t="s">
        <v>85</v>
      </c>
      <c r="E212" s="614">
        <f>E210+E211</f>
        <v>11547.66396573708</v>
      </c>
      <c r="F212" s="614"/>
      <c r="G212" s="614"/>
    </row>
    <row r="213" spans="1:7" ht="15" customHeight="1">
      <c r="A213" s="84">
        <v>4</v>
      </c>
      <c r="B213" s="613" t="s">
        <v>203</v>
      </c>
      <c r="C213" s="613"/>
      <c r="D213" s="84" t="s">
        <v>85</v>
      </c>
      <c r="E213" s="611"/>
      <c r="F213" s="611"/>
      <c r="G213" s="611"/>
    </row>
    <row r="214" spans="1:7" ht="15" customHeight="1">
      <c r="A214" s="84" t="s">
        <v>19</v>
      </c>
      <c r="B214" s="613" t="s">
        <v>204</v>
      </c>
      <c r="C214" s="613"/>
      <c r="D214" s="84" t="s">
        <v>85</v>
      </c>
      <c r="E214" s="611">
        <f>E212-E213</f>
        <v>11547.66396573708</v>
      </c>
      <c r="F214" s="611"/>
      <c r="G214" s="611"/>
    </row>
    <row r="215" ht="14.25">
      <c r="A215" s="95"/>
    </row>
    <row r="216" ht="14.25">
      <c r="A216" s="95"/>
    </row>
    <row r="217" spans="2:3" ht="14.25">
      <c r="B217" s="116" t="s">
        <v>63</v>
      </c>
      <c r="C217" s="117"/>
    </row>
    <row r="218" ht="14.25">
      <c r="A218" s="95"/>
    </row>
    <row r="219" ht="14.25">
      <c r="B219" s="116" t="s">
        <v>206</v>
      </c>
    </row>
  </sheetData>
  <sheetProtection/>
  <mergeCells count="165">
    <mergeCell ref="A7:G7"/>
    <mergeCell ref="A8:G8"/>
    <mergeCell ref="A9:G9"/>
    <mergeCell ref="B27:G27"/>
    <mergeCell ref="D24:E24"/>
    <mergeCell ref="F16:G16"/>
    <mergeCell ref="F18:G18"/>
    <mergeCell ref="B65:C65"/>
    <mergeCell ref="B60:C60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14:G214"/>
    <mergeCell ref="B208:C209"/>
    <mergeCell ref="B210:C210"/>
    <mergeCell ref="B211:C211"/>
    <mergeCell ref="B212:C212"/>
    <mergeCell ref="B213:C213"/>
    <mergeCell ref="B214:C214"/>
    <mergeCell ref="E210:G210"/>
    <mergeCell ref="E211:G211"/>
    <mergeCell ref="E212:G212"/>
    <mergeCell ref="B201:C201"/>
    <mergeCell ref="E213:G213"/>
    <mergeCell ref="B202:C202"/>
    <mergeCell ref="B203:C203"/>
    <mergeCell ref="B204:C204"/>
    <mergeCell ref="E208:G209"/>
    <mergeCell ref="B195:C195"/>
    <mergeCell ref="B196:C196"/>
    <mergeCell ref="B197:C197"/>
    <mergeCell ref="B198:C198"/>
    <mergeCell ref="B199:C199"/>
    <mergeCell ref="B200:C200"/>
    <mergeCell ref="B163:C163"/>
    <mergeCell ref="B164:C164"/>
    <mergeCell ref="B168:C168"/>
    <mergeCell ref="B170:C170"/>
    <mergeCell ref="B184:C184"/>
    <mergeCell ref="B193:C193"/>
    <mergeCell ref="B188:C188"/>
    <mergeCell ref="B177:C177"/>
    <mergeCell ref="B180:C180"/>
    <mergeCell ref="B178:C178"/>
    <mergeCell ref="B179:C179"/>
    <mergeCell ref="B185:C185"/>
    <mergeCell ref="B186:C186"/>
    <mergeCell ref="B194:C194"/>
    <mergeCell ref="B172:C172"/>
    <mergeCell ref="B187:C187"/>
    <mergeCell ref="B156:C156"/>
    <mergeCell ref="B155:C155"/>
    <mergeCell ref="B154:C154"/>
    <mergeCell ref="B171:C171"/>
    <mergeCell ref="B174:C174"/>
    <mergeCell ref="B175:C175"/>
    <mergeCell ref="B176:C176"/>
    <mergeCell ref="B173:C173"/>
    <mergeCell ref="B169:C169"/>
    <mergeCell ref="B95:C95"/>
    <mergeCell ref="B87:C87"/>
    <mergeCell ref="B88:C88"/>
    <mergeCell ref="B147:C147"/>
    <mergeCell ref="B146:C146"/>
    <mergeCell ref="B137:C137"/>
    <mergeCell ref="B140:C140"/>
    <mergeCell ref="B116:C116"/>
    <mergeCell ref="B128:C128"/>
    <mergeCell ref="B72:C72"/>
    <mergeCell ref="B73:C73"/>
    <mergeCell ref="B74:C74"/>
    <mergeCell ref="B75:C75"/>
    <mergeCell ref="B76:C76"/>
    <mergeCell ref="B89:C89"/>
    <mergeCell ref="B153:C153"/>
    <mergeCell ref="A80:C80"/>
    <mergeCell ref="A81:C81"/>
    <mergeCell ref="B152:C152"/>
    <mergeCell ref="B151:C151"/>
    <mergeCell ref="B148:C148"/>
    <mergeCell ref="B149:C149"/>
    <mergeCell ref="B150:C150"/>
    <mergeCell ref="B92:C92"/>
    <mergeCell ref="B141:C141"/>
    <mergeCell ref="D134:G134"/>
    <mergeCell ref="B84:C84"/>
    <mergeCell ref="B82:C82"/>
    <mergeCell ref="B83:C83"/>
    <mergeCell ref="A85:C85"/>
    <mergeCell ref="A86:C86"/>
    <mergeCell ref="A91:C91"/>
    <mergeCell ref="B103:C103"/>
    <mergeCell ref="B104:C104"/>
    <mergeCell ref="B94:C94"/>
    <mergeCell ref="A47:A48"/>
    <mergeCell ref="D133:G133"/>
    <mergeCell ref="F47:F48"/>
    <mergeCell ref="G47:G48"/>
    <mergeCell ref="B78:C78"/>
    <mergeCell ref="B79:C79"/>
    <mergeCell ref="B68:C68"/>
    <mergeCell ref="B69:C69"/>
    <mergeCell ref="A67:C67"/>
    <mergeCell ref="A66:C66"/>
    <mergeCell ref="A208:A209"/>
    <mergeCell ref="B122:C122"/>
    <mergeCell ref="B123:C123"/>
    <mergeCell ref="B124:C124"/>
    <mergeCell ref="B125:C125"/>
    <mergeCell ref="B126:C126"/>
    <mergeCell ref="B139:C139"/>
    <mergeCell ref="A160:A161"/>
    <mergeCell ref="B160:C161"/>
    <mergeCell ref="B162:C162"/>
    <mergeCell ref="A33:A34"/>
    <mergeCell ref="B44:C44"/>
    <mergeCell ref="B61:C61"/>
    <mergeCell ref="B62:C62"/>
    <mergeCell ref="A40:A43"/>
    <mergeCell ref="B36:C36"/>
    <mergeCell ref="B37:C37"/>
    <mergeCell ref="B38:C38"/>
    <mergeCell ref="B39:C39"/>
    <mergeCell ref="B40:C40"/>
    <mergeCell ref="B70:C70"/>
    <mergeCell ref="B71:C71"/>
    <mergeCell ref="B77:C77"/>
    <mergeCell ref="B108:C108"/>
    <mergeCell ref="B93:C93"/>
    <mergeCell ref="B100:C100"/>
    <mergeCell ref="B101:C101"/>
    <mergeCell ref="B102:C102"/>
    <mergeCell ref="B99:C99"/>
    <mergeCell ref="B105:C105"/>
    <mergeCell ref="B112:C112"/>
    <mergeCell ref="B113:C113"/>
    <mergeCell ref="B114:C114"/>
    <mergeCell ref="B115:C115"/>
    <mergeCell ref="B106:C106"/>
    <mergeCell ref="B107:C107"/>
    <mergeCell ref="B110:C110"/>
    <mergeCell ref="B111:C111"/>
    <mergeCell ref="B109:C109"/>
    <mergeCell ref="B135:C135"/>
    <mergeCell ref="B136:C136"/>
    <mergeCell ref="B138:C138"/>
    <mergeCell ref="B121:C121"/>
    <mergeCell ref="B132:C132"/>
    <mergeCell ref="B133:C133"/>
    <mergeCell ref="B134:C134"/>
    <mergeCell ref="B127:C127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85">
      <selection activeCell="F201" sqref="F201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276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214</v>
      </c>
      <c r="D18" s="596" t="s">
        <v>17</v>
      </c>
      <c r="E18" s="597"/>
      <c r="F18" s="596" t="s">
        <v>277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70">
        <v>22</v>
      </c>
      <c r="D20" s="596" t="s">
        <v>21</v>
      </c>
      <c r="E20" s="597"/>
      <c r="F20" s="596" t="s">
        <v>610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293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255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540</v>
      </c>
      <c r="D26" s="592"/>
      <c r="E26" s="592"/>
      <c r="F26" s="592"/>
      <c r="G26" s="593"/>
    </row>
    <row r="27" spans="1:7" ht="15" thickBot="1">
      <c r="A27" s="75"/>
      <c r="B27" s="591" t="s">
        <v>541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294</v>
      </c>
      <c r="C36" s="613"/>
      <c r="D36" s="84" t="s">
        <v>43</v>
      </c>
      <c r="E36" s="85">
        <v>24</v>
      </c>
      <c r="F36" s="86">
        <f>F50/24</f>
        <v>1.2743628185907048</v>
      </c>
      <c r="G36" s="85">
        <f aca="true" t="shared" si="0" ref="G36:G43">E36*F36</f>
        <v>30.584707646176916</v>
      </c>
    </row>
    <row r="37" spans="1:7" ht="15" customHeight="1">
      <c r="A37" s="84" t="s">
        <v>45</v>
      </c>
      <c r="B37" s="613" t="s">
        <v>295</v>
      </c>
      <c r="C37" s="613"/>
      <c r="D37" s="84" t="s">
        <v>43</v>
      </c>
      <c r="E37" s="84">
        <v>24</v>
      </c>
      <c r="F37" s="86">
        <f>F50/24</f>
        <v>1.2743628185907048</v>
      </c>
      <c r="G37" s="85">
        <f t="shared" si="0"/>
        <v>30.584707646176916</v>
      </c>
    </row>
    <row r="38" spans="1:7" ht="15" customHeight="1">
      <c r="A38" s="84" t="s">
        <v>14</v>
      </c>
      <c r="B38" s="613" t="s">
        <v>296</v>
      </c>
      <c r="C38" s="613"/>
      <c r="D38" s="84" t="s">
        <v>43</v>
      </c>
      <c r="E38" s="94" t="s">
        <v>47</v>
      </c>
      <c r="F38" s="86">
        <f>(F50+F52)/2/24</f>
        <v>1.2143928035982008</v>
      </c>
      <c r="G38" s="85">
        <f>8*F38*2</f>
        <v>19.430284857571213</v>
      </c>
    </row>
    <row r="39" spans="1:7" ht="15" customHeight="1">
      <c r="A39" s="84" t="s">
        <v>49</v>
      </c>
      <c r="B39" s="613" t="s">
        <v>297</v>
      </c>
      <c r="C39" s="613"/>
      <c r="D39" s="84" t="s">
        <v>43</v>
      </c>
      <c r="E39" s="84">
        <v>16</v>
      </c>
      <c r="F39" s="86">
        <f>F50/24</f>
        <v>1.2743628185907048</v>
      </c>
      <c r="G39" s="85">
        <f t="shared" si="0"/>
        <v>20.389805097451276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52</v>
      </c>
      <c r="C41" s="608"/>
      <c r="D41" s="87"/>
      <c r="E41" s="90">
        <v>4</v>
      </c>
      <c r="F41" s="89"/>
      <c r="G41" s="84">
        <f t="shared" si="0"/>
        <v>0</v>
      </c>
    </row>
    <row r="42" spans="1:7" ht="15.75" customHeight="1">
      <c r="A42" s="627"/>
      <c r="B42" s="607" t="s">
        <v>298</v>
      </c>
      <c r="C42" s="608"/>
      <c r="D42" s="87"/>
      <c r="E42" s="90">
        <v>6</v>
      </c>
      <c r="F42" s="89"/>
      <c r="G42" s="84">
        <f t="shared" si="0"/>
        <v>0</v>
      </c>
    </row>
    <row r="43" spans="1:7" ht="14.25">
      <c r="A43" s="627"/>
      <c r="B43" s="609" t="s">
        <v>299</v>
      </c>
      <c r="C43" s="610"/>
      <c r="D43" s="87"/>
      <c r="E43" s="91">
        <v>4</v>
      </c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100.98950524737631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2</v>
      </c>
      <c r="F49" s="86">
        <f>6600*12/2001</f>
        <v>39.58020989505248</v>
      </c>
      <c r="G49" s="85">
        <f>E49*F49</f>
        <v>79.16041979010495</v>
      </c>
    </row>
    <row r="50" spans="1:7" ht="15" customHeight="1">
      <c r="A50" s="84">
        <v>2</v>
      </c>
      <c r="B50" s="93" t="s">
        <v>63</v>
      </c>
      <c r="C50" s="93" t="s">
        <v>300</v>
      </c>
      <c r="D50" s="84" t="s">
        <v>43</v>
      </c>
      <c r="E50" s="84">
        <v>32</v>
      </c>
      <c r="F50" s="86">
        <f>5100*12/2001</f>
        <v>30.584707646176913</v>
      </c>
      <c r="G50" s="85">
        <f>E50*F50</f>
        <v>978.7106446776612</v>
      </c>
    </row>
    <row r="51" spans="1:9" ht="15" customHeight="1">
      <c r="A51" s="84">
        <v>3</v>
      </c>
      <c r="B51" s="93" t="s">
        <v>67</v>
      </c>
      <c r="C51" s="93" t="s">
        <v>542</v>
      </c>
      <c r="D51" s="84" t="s">
        <v>43</v>
      </c>
      <c r="E51" s="94" t="s">
        <v>240</v>
      </c>
      <c r="F51" s="86">
        <f>(5100+4620+3470)*12/6003</f>
        <v>26.366816591704147</v>
      </c>
      <c r="G51" s="85">
        <f>E51*F51</f>
        <v>210.93453273363318</v>
      </c>
      <c r="I51" s="234"/>
    </row>
    <row r="52" spans="1:9" ht="15" customHeight="1">
      <c r="A52" s="84">
        <v>4</v>
      </c>
      <c r="B52" s="93" t="s">
        <v>70</v>
      </c>
      <c r="C52" s="93" t="s">
        <v>302</v>
      </c>
      <c r="D52" s="84" t="s">
        <v>43</v>
      </c>
      <c r="E52" s="84">
        <v>32</v>
      </c>
      <c r="F52" s="86">
        <f>4620*12/2001</f>
        <v>27.706146926536732</v>
      </c>
      <c r="G52" s="85">
        <f aca="true" t="shared" si="1" ref="G52:G57">E52*F52</f>
        <v>886.5967016491754</v>
      </c>
      <c r="I52" s="234"/>
    </row>
    <row r="53" spans="1:9" ht="15" customHeight="1">
      <c r="A53" s="84">
        <v>5</v>
      </c>
      <c r="B53" s="93" t="s">
        <v>73</v>
      </c>
      <c r="C53" s="93" t="s">
        <v>516</v>
      </c>
      <c r="D53" s="84" t="s">
        <v>43</v>
      </c>
      <c r="E53" s="94" t="s">
        <v>240</v>
      </c>
      <c r="F53" s="86">
        <f>(3820+4220)*12/4002</f>
        <v>24.107946026986507</v>
      </c>
      <c r="G53" s="85">
        <f t="shared" si="1"/>
        <v>192.86356821589206</v>
      </c>
      <c r="I53" s="119"/>
    </row>
    <row r="54" spans="1:7" ht="15" customHeight="1">
      <c r="A54" s="84">
        <v>6</v>
      </c>
      <c r="B54" s="93" t="s">
        <v>80</v>
      </c>
      <c r="C54" s="93" t="s">
        <v>303</v>
      </c>
      <c r="D54" s="84" t="s">
        <v>43</v>
      </c>
      <c r="E54" s="84">
        <v>4</v>
      </c>
      <c r="F54" s="86">
        <f>3160*12/2001</f>
        <v>18.950524737631184</v>
      </c>
      <c r="G54" s="85">
        <f t="shared" si="1"/>
        <v>75.80209895052474</v>
      </c>
    </row>
    <row r="55" spans="1:9" ht="15" customHeight="1">
      <c r="A55" s="84">
        <v>7</v>
      </c>
      <c r="B55" s="93" t="s">
        <v>263</v>
      </c>
      <c r="C55" s="93" t="s">
        <v>395</v>
      </c>
      <c r="D55" s="84" t="s">
        <v>43</v>
      </c>
      <c r="E55" s="84">
        <v>8</v>
      </c>
      <c r="F55" s="86">
        <f>3061*12/2001</f>
        <v>18.356821589205396</v>
      </c>
      <c r="G55" s="85">
        <f t="shared" si="1"/>
        <v>146.85457271364317</v>
      </c>
      <c r="I55" s="234" t="s">
        <v>411</v>
      </c>
    </row>
    <row r="56" spans="1:7" ht="15" customHeight="1">
      <c r="A56" s="84">
        <v>8</v>
      </c>
      <c r="B56" s="93" t="s">
        <v>77</v>
      </c>
      <c r="C56" s="93" t="s">
        <v>300</v>
      </c>
      <c r="D56" s="84" t="s">
        <v>43</v>
      </c>
      <c r="E56" s="94" t="s">
        <v>288</v>
      </c>
      <c r="F56" s="86">
        <f>5100*12/2001</f>
        <v>30.584707646176913</v>
      </c>
      <c r="G56" s="85">
        <f t="shared" si="1"/>
        <v>305.8470764617691</v>
      </c>
    </row>
    <row r="57" spans="1:9" ht="15" customHeight="1">
      <c r="A57" s="84">
        <v>9</v>
      </c>
      <c r="B57" s="93" t="s">
        <v>265</v>
      </c>
      <c r="C57" s="93" t="s">
        <v>543</v>
      </c>
      <c r="D57" s="84" t="s">
        <v>43</v>
      </c>
      <c r="E57" s="94" t="s">
        <v>304</v>
      </c>
      <c r="F57" s="86">
        <f>(4620+4200)*12/4002</f>
        <v>26.44677661169415</v>
      </c>
      <c r="G57" s="85">
        <f t="shared" si="1"/>
        <v>476.04197901049474</v>
      </c>
      <c r="I57" s="63"/>
    </row>
    <row r="58" spans="1:7" ht="15" customHeight="1">
      <c r="A58" s="84"/>
      <c r="B58" s="93" t="s">
        <v>82</v>
      </c>
      <c r="C58" s="93"/>
      <c r="D58" s="84"/>
      <c r="E58" s="84"/>
      <c r="F58" s="84"/>
      <c r="G58" s="85">
        <f>SUM(G49:G57)</f>
        <v>3352.811594202899</v>
      </c>
    </row>
    <row r="59" ht="15" customHeight="1">
      <c r="A59" s="95"/>
    </row>
    <row r="60" ht="15" thickBot="1">
      <c r="A60" s="76" t="s">
        <v>83</v>
      </c>
    </row>
    <row r="61" spans="1:7" ht="28.5" customHeight="1">
      <c r="A61" s="96" t="s">
        <v>37</v>
      </c>
      <c r="B61" s="598" t="s">
        <v>38</v>
      </c>
      <c r="C61" s="599"/>
      <c r="D61" s="78" t="s">
        <v>39</v>
      </c>
      <c r="E61" s="78" t="s">
        <v>207</v>
      </c>
      <c r="F61" s="78" t="s">
        <v>58</v>
      </c>
      <c r="G61" s="78" t="s">
        <v>59</v>
      </c>
    </row>
    <row r="62" spans="1:7" ht="15" customHeight="1">
      <c r="A62" s="84" t="s">
        <v>9</v>
      </c>
      <c r="B62" s="613" t="s">
        <v>84</v>
      </c>
      <c r="C62" s="613"/>
      <c r="D62" s="84" t="s">
        <v>85</v>
      </c>
      <c r="E62" s="97"/>
      <c r="F62" s="97"/>
      <c r="G62" s="85">
        <f>(G44+G58)*0.23</f>
        <v>794.3742528735634</v>
      </c>
    </row>
    <row r="63" spans="1:7" ht="15" customHeight="1">
      <c r="A63" s="84" t="s">
        <v>45</v>
      </c>
      <c r="B63" s="613" t="s">
        <v>539</v>
      </c>
      <c r="C63" s="613"/>
      <c r="D63" s="84" t="s">
        <v>85</v>
      </c>
      <c r="E63" s="97"/>
      <c r="F63" s="97"/>
      <c r="G63" s="85">
        <f>(G44+G58)*0.04</f>
        <v>138.15204397801102</v>
      </c>
    </row>
    <row r="64" ht="18" customHeight="1">
      <c r="A64" s="95"/>
    </row>
    <row r="65" ht="15" thickBot="1">
      <c r="A65" s="76" t="s">
        <v>87</v>
      </c>
    </row>
    <row r="66" spans="1:7" ht="27" customHeight="1" thickBot="1">
      <c r="A66" s="78" t="s">
        <v>37</v>
      </c>
      <c r="B66" s="598" t="s">
        <v>38</v>
      </c>
      <c r="C66" s="599"/>
      <c r="D66" s="77" t="s">
        <v>39</v>
      </c>
      <c r="E66" s="96" t="s">
        <v>207</v>
      </c>
      <c r="F66" s="78" t="s">
        <v>58</v>
      </c>
      <c r="G66" s="78" t="s">
        <v>59</v>
      </c>
    </row>
    <row r="67" spans="1:7" ht="15" customHeight="1">
      <c r="A67" s="625"/>
      <c r="B67" s="625"/>
      <c r="C67" s="625"/>
      <c r="D67" s="98"/>
      <c r="E67" s="98"/>
      <c r="F67" s="99"/>
      <c r="G67" s="99"/>
    </row>
    <row r="68" spans="1:7" ht="14.25">
      <c r="A68" s="620" t="s">
        <v>88</v>
      </c>
      <c r="B68" s="620"/>
      <c r="C68" s="620"/>
      <c r="D68" s="87"/>
      <c r="E68" s="87"/>
      <c r="F68" s="89"/>
      <c r="G68" s="89"/>
    </row>
    <row r="69" spans="1:7" ht="15" customHeight="1">
      <c r="A69" s="100" t="s">
        <v>9</v>
      </c>
      <c r="B69" s="613" t="s">
        <v>273</v>
      </c>
      <c r="C69" s="613"/>
      <c r="D69" s="84"/>
      <c r="E69" s="84"/>
      <c r="F69" s="84"/>
      <c r="G69" s="84"/>
    </row>
    <row r="70" spans="1:7" ht="15" customHeight="1">
      <c r="A70" s="100" t="s">
        <v>45</v>
      </c>
      <c r="B70" s="613" t="s">
        <v>90</v>
      </c>
      <c r="C70" s="613"/>
      <c r="D70" s="84" t="s">
        <v>91</v>
      </c>
      <c r="E70" s="84"/>
      <c r="F70" s="84"/>
      <c r="G70" s="85">
        <f>E70*F70</f>
        <v>0</v>
      </c>
    </row>
    <row r="71" spans="1:7" ht="15" customHeight="1">
      <c r="A71" s="100" t="s">
        <v>14</v>
      </c>
      <c r="B71" s="613" t="s">
        <v>92</v>
      </c>
      <c r="C71" s="613"/>
      <c r="D71" s="84" t="s">
        <v>91</v>
      </c>
      <c r="E71" s="84"/>
      <c r="F71" s="84"/>
      <c r="G71" s="85"/>
    </row>
    <row r="72" spans="1:7" ht="15" customHeight="1">
      <c r="A72" s="100" t="s">
        <v>49</v>
      </c>
      <c r="B72" s="613" t="s">
        <v>93</v>
      </c>
      <c r="C72" s="613"/>
      <c r="D72" s="84" t="s">
        <v>91</v>
      </c>
      <c r="E72" s="84"/>
      <c r="F72" s="84"/>
      <c r="G72" s="85">
        <f>E72*F72</f>
        <v>0</v>
      </c>
    </row>
    <row r="73" spans="1:7" ht="15" customHeight="1">
      <c r="A73" s="100" t="s">
        <v>19</v>
      </c>
      <c r="B73" s="613" t="s">
        <v>94</v>
      </c>
      <c r="C73" s="613"/>
      <c r="D73" s="84"/>
      <c r="E73" s="84"/>
      <c r="F73" s="84"/>
      <c r="G73" s="84"/>
    </row>
    <row r="74" spans="1:7" ht="15" customHeight="1">
      <c r="A74" s="100"/>
      <c r="B74" s="619" t="s">
        <v>95</v>
      </c>
      <c r="C74" s="619"/>
      <c r="D74" s="101" t="s">
        <v>96</v>
      </c>
      <c r="E74" s="101"/>
      <c r="F74" s="101"/>
      <c r="G74" s="101"/>
    </row>
    <row r="75" spans="1:7" ht="15" customHeight="1">
      <c r="A75" s="100"/>
      <c r="B75" s="619" t="s">
        <v>97</v>
      </c>
      <c r="C75" s="619"/>
      <c r="D75" s="101" t="s">
        <v>91</v>
      </c>
      <c r="E75" s="101"/>
      <c r="F75" s="101"/>
      <c r="G75" s="101"/>
    </row>
    <row r="76" spans="1:7" ht="15" customHeight="1">
      <c r="A76" s="100"/>
      <c r="B76" s="619" t="s">
        <v>98</v>
      </c>
      <c r="C76" s="619"/>
      <c r="D76" s="101" t="s">
        <v>85</v>
      </c>
      <c r="E76" s="101"/>
      <c r="F76" s="101"/>
      <c r="G76" s="42">
        <f>E74*E75*F76</f>
        <v>0</v>
      </c>
    </row>
    <row r="77" spans="1:7" ht="15" customHeight="1">
      <c r="A77" s="100" t="s">
        <v>54</v>
      </c>
      <c r="B77" s="613" t="s">
        <v>99</v>
      </c>
      <c r="C77" s="613"/>
      <c r="D77" s="101"/>
      <c r="E77" s="101"/>
      <c r="F77" s="101"/>
      <c r="G77" s="101"/>
    </row>
    <row r="78" spans="1:7" ht="15" customHeight="1">
      <c r="A78" s="100"/>
      <c r="B78" s="619" t="s">
        <v>97</v>
      </c>
      <c r="C78" s="619"/>
      <c r="D78" s="101" t="s">
        <v>91</v>
      </c>
      <c r="E78" s="101"/>
      <c r="F78" s="101"/>
      <c r="G78" s="101"/>
    </row>
    <row r="79" spans="1:7" ht="15" customHeight="1">
      <c r="A79" s="100"/>
      <c r="B79" s="619" t="s">
        <v>100</v>
      </c>
      <c r="C79" s="619"/>
      <c r="D79" s="101" t="s">
        <v>101</v>
      </c>
      <c r="E79" s="43"/>
      <c r="F79" s="41"/>
      <c r="G79" s="42">
        <f>E78*E79*F79</f>
        <v>0</v>
      </c>
    </row>
    <row r="80" spans="1:7" ht="15" customHeight="1">
      <c r="A80" s="100"/>
      <c r="B80" s="619" t="s">
        <v>102</v>
      </c>
      <c r="C80" s="619"/>
      <c r="D80" s="101" t="s">
        <v>91</v>
      </c>
      <c r="E80" s="41"/>
      <c r="F80" s="44"/>
      <c r="G80" s="42">
        <f>E78*F80</f>
        <v>0</v>
      </c>
    </row>
    <row r="81" spans="1:7" ht="14.25" customHeight="1">
      <c r="A81" s="620"/>
      <c r="B81" s="620"/>
      <c r="C81" s="620"/>
      <c r="D81" s="102"/>
      <c r="E81" s="102"/>
      <c r="F81" s="102"/>
      <c r="G81" s="102"/>
    </row>
    <row r="82" spans="1:7" ht="14.25">
      <c r="A82" s="620" t="s">
        <v>103</v>
      </c>
      <c r="B82" s="620"/>
      <c r="C82" s="620"/>
      <c r="D82" s="102"/>
      <c r="E82" s="102"/>
      <c r="F82" s="102"/>
      <c r="G82" s="102"/>
    </row>
    <row r="83" spans="1:7" ht="15" customHeight="1">
      <c r="A83" s="100"/>
      <c r="B83" s="619" t="s">
        <v>97</v>
      </c>
      <c r="C83" s="619"/>
      <c r="D83" s="101" t="s">
        <v>91</v>
      </c>
      <c r="E83" s="101">
        <v>18</v>
      </c>
      <c r="F83" s="101"/>
      <c r="G83" s="101"/>
    </row>
    <row r="84" spans="1:7" ht="15" customHeight="1">
      <c r="A84" s="100"/>
      <c r="B84" s="619" t="s">
        <v>104</v>
      </c>
      <c r="C84" s="619"/>
      <c r="D84" s="101" t="s">
        <v>101</v>
      </c>
      <c r="E84" s="101">
        <v>1.35</v>
      </c>
      <c r="F84" s="101">
        <v>1.68</v>
      </c>
      <c r="G84" s="103">
        <f>E83*E84*F84</f>
        <v>40.824</v>
      </c>
    </row>
    <row r="85" spans="1:7" ht="14.25" customHeight="1">
      <c r="A85" s="100"/>
      <c r="B85" s="619" t="s">
        <v>105</v>
      </c>
      <c r="C85" s="619"/>
      <c r="D85" s="101" t="s">
        <v>85</v>
      </c>
      <c r="E85" s="101"/>
      <c r="F85" s="101">
        <v>11.8</v>
      </c>
      <c r="G85" s="103">
        <f>E83*F85</f>
        <v>212.4</v>
      </c>
    </row>
    <row r="86" spans="1:7" ht="15" customHeight="1">
      <c r="A86" s="620"/>
      <c r="B86" s="620"/>
      <c r="C86" s="620"/>
      <c r="D86" s="102"/>
      <c r="E86" s="102"/>
      <c r="F86" s="102"/>
      <c r="G86" s="102"/>
    </row>
    <row r="87" spans="1:7" ht="14.25">
      <c r="A87" s="620" t="s">
        <v>106</v>
      </c>
      <c r="B87" s="620"/>
      <c r="C87" s="620"/>
      <c r="D87" s="102"/>
      <c r="E87" s="102"/>
      <c r="F87" s="102"/>
      <c r="G87" s="102"/>
    </row>
    <row r="88" spans="1:7" ht="15" customHeight="1">
      <c r="A88" s="100"/>
      <c r="B88" s="619" t="s">
        <v>97</v>
      </c>
      <c r="C88" s="619"/>
      <c r="D88" s="101" t="s">
        <v>91</v>
      </c>
      <c r="E88" s="101">
        <v>4</v>
      </c>
      <c r="F88" s="101"/>
      <c r="G88" s="101"/>
    </row>
    <row r="89" spans="1:7" ht="15" customHeight="1">
      <c r="A89" s="100"/>
      <c r="B89" s="619" t="s">
        <v>104</v>
      </c>
      <c r="C89" s="619"/>
      <c r="D89" s="101" t="s">
        <v>101</v>
      </c>
      <c r="E89" s="101">
        <v>0.5</v>
      </c>
      <c r="F89" s="101">
        <v>1.68</v>
      </c>
      <c r="G89" s="103">
        <f>E88*E89*F89</f>
        <v>3.36</v>
      </c>
    </row>
    <row r="90" spans="1:7" ht="14.25" customHeight="1">
      <c r="A90" s="100"/>
      <c r="B90" s="619" t="s">
        <v>107</v>
      </c>
      <c r="C90" s="619"/>
      <c r="D90" s="101" t="s">
        <v>85</v>
      </c>
      <c r="E90" s="101"/>
      <c r="F90" s="101">
        <v>0.6</v>
      </c>
      <c r="G90" s="103">
        <f>E88*F90</f>
        <v>2.4</v>
      </c>
    </row>
    <row r="92" spans="1:7" ht="15.75">
      <c r="A92" s="620" t="s">
        <v>208</v>
      </c>
      <c r="B92" s="620"/>
      <c r="C92" s="620"/>
      <c r="D92" s="87"/>
      <c r="E92" s="87"/>
      <c r="F92" s="89"/>
      <c r="G92" s="89"/>
    </row>
    <row r="93" spans="1:7" ht="18.75" customHeight="1">
      <c r="A93" s="93"/>
      <c r="B93" s="621"/>
      <c r="C93" s="621"/>
      <c r="D93" s="84"/>
      <c r="E93" s="84"/>
      <c r="F93" s="84"/>
      <c r="G93" s="84"/>
    </row>
    <row r="94" spans="1:7" ht="14.25">
      <c r="A94" s="93"/>
      <c r="B94" s="621"/>
      <c r="C94" s="621"/>
      <c r="D94" s="84"/>
      <c r="E94" s="84"/>
      <c r="F94" s="84"/>
      <c r="G94" s="84"/>
    </row>
    <row r="95" spans="1:7" ht="14.25">
      <c r="A95" s="93"/>
      <c r="B95" s="587"/>
      <c r="C95" s="588"/>
      <c r="D95" s="84"/>
      <c r="E95" s="94"/>
      <c r="F95" s="84"/>
      <c r="G95" s="85">
        <f>SUM(G93:G94)</f>
        <v>0</v>
      </c>
    </row>
    <row r="96" spans="1:7" ht="14.25" customHeight="1">
      <c r="A96" s="84"/>
      <c r="B96" s="587" t="s">
        <v>108</v>
      </c>
      <c r="C96" s="588"/>
      <c r="D96" s="84"/>
      <c r="E96" s="94"/>
      <c r="F96" s="84"/>
      <c r="G96" s="85">
        <f>SUM(G70:G95)</f>
        <v>258.984</v>
      </c>
    </row>
    <row r="97" spans="1:7" ht="12.75">
      <c r="A97" s="104"/>
      <c r="B97" s="104"/>
      <c r="C97" s="104"/>
      <c r="D97" s="104"/>
      <c r="E97" s="104"/>
      <c r="F97" s="104"/>
      <c r="G97" s="104"/>
    </row>
    <row r="98" ht="15" thickBot="1">
      <c r="A98" s="76" t="s">
        <v>110</v>
      </c>
    </row>
    <row r="99" spans="1:7" ht="26.25" customHeight="1">
      <c r="A99" s="96" t="s">
        <v>37</v>
      </c>
      <c r="B99" s="105" t="s">
        <v>38</v>
      </c>
      <c r="C99" s="106"/>
      <c r="D99" s="77" t="s">
        <v>39</v>
      </c>
      <c r="E99" s="78" t="s">
        <v>207</v>
      </c>
      <c r="F99" s="78" t="s">
        <v>58</v>
      </c>
      <c r="G99" s="78" t="s">
        <v>59</v>
      </c>
    </row>
    <row r="100" spans="1:7" ht="15" customHeight="1">
      <c r="A100" s="84" t="s">
        <v>9</v>
      </c>
      <c r="B100" s="613" t="s">
        <v>111</v>
      </c>
      <c r="C100" s="613"/>
      <c r="D100" s="101" t="s">
        <v>91</v>
      </c>
      <c r="E100" s="101"/>
      <c r="F100" s="101"/>
      <c r="G100" s="84">
        <f>E100*F100</f>
        <v>0</v>
      </c>
    </row>
    <row r="101" spans="1:7" ht="15" customHeight="1">
      <c r="A101" s="84" t="s">
        <v>45</v>
      </c>
      <c r="B101" s="613" t="s">
        <v>112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14</v>
      </c>
      <c r="B102" s="613" t="s">
        <v>113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49</v>
      </c>
      <c r="B103" s="613" t="s">
        <v>94</v>
      </c>
      <c r="C103" s="613"/>
      <c r="D103" s="101"/>
      <c r="E103" s="101"/>
      <c r="F103" s="101"/>
      <c r="G103" s="101"/>
    </row>
    <row r="104" spans="1:7" ht="15" customHeight="1">
      <c r="A104" s="84"/>
      <c r="B104" s="619" t="s">
        <v>95</v>
      </c>
      <c r="C104" s="619"/>
      <c r="D104" s="101" t="s">
        <v>96</v>
      </c>
      <c r="E104" s="101">
        <v>2</v>
      </c>
      <c r="F104" s="101"/>
      <c r="G104" s="101"/>
    </row>
    <row r="105" spans="1:7" ht="15" customHeight="1">
      <c r="A105" s="84"/>
      <c r="B105" s="619" t="s">
        <v>97</v>
      </c>
      <c r="C105" s="619"/>
      <c r="D105" s="101" t="s">
        <v>91</v>
      </c>
      <c r="E105" s="101">
        <v>16</v>
      </c>
      <c r="F105" s="101"/>
      <c r="G105" s="101"/>
    </row>
    <row r="106" spans="1:7" ht="15" customHeight="1">
      <c r="A106" s="84"/>
      <c r="B106" s="619" t="s">
        <v>114</v>
      </c>
      <c r="C106" s="619"/>
      <c r="D106" s="101" t="s">
        <v>85</v>
      </c>
      <c r="E106" s="101"/>
      <c r="F106" s="101">
        <v>16.04</v>
      </c>
      <c r="G106" s="103">
        <f>E104*E105*F106</f>
        <v>513.28</v>
      </c>
    </row>
    <row r="107" spans="1:7" ht="15" customHeight="1">
      <c r="A107" s="84" t="s">
        <v>19</v>
      </c>
      <c r="B107" s="630" t="s">
        <v>115</v>
      </c>
      <c r="C107" s="630"/>
      <c r="D107" s="101"/>
      <c r="E107" s="101"/>
      <c r="F107" s="101"/>
      <c r="G107" s="101"/>
    </row>
    <row r="108" spans="1:7" ht="15" customHeight="1">
      <c r="A108" s="84"/>
      <c r="B108" s="619" t="s">
        <v>116</v>
      </c>
      <c r="C108" s="619"/>
      <c r="D108" s="101" t="s">
        <v>117</v>
      </c>
      <c r="E108" s="101">
        <v>2</v>
      </c>
      <c r="F108" s="101"/>
      <c r="G108" s="101"/>
    </row>
    <row r="109" spans="1:7" ht="15" customHeight="1">
      <c r="A109" s="84"/>
      <c r="B109" s="619" t="s">
        <v>118</v>
      </c>
      <c r="C109" s="619"/>
      <c r="D109" s="101" t="s">
        <v>85</v>
      </c>
      <c r="E109" s="101">
        <v>10</v>
      </c>
      <c r="F109" s="107">
        <f>(14249.86+97346.65)/73/12/193*1</f>
        <v>0.6600687888896776</v>
      </c>
      <c r="G109" s="103">
        <f>E108*E109*F109</f>
        <v>13.201375777793551</v>
      </c>
    </row>
    <row r="110" spans="1:7" ht="15" customHeight="1">
      <c r="A110" s="84" t="s">
        <v>54</v>
      </c>
      <c r="B110" s="630" t="s">
        <v>119</v>
      </c>
      <c r="C110" s="630"/>
      <c r="D110" s="101"/>
      <c r="E110" s="101"/>
      <c r="F110" s="101"/>
      <c r="G110" s="101"/>
    </row>
    <row r="111" spans="1:7" ht="15" customHeight="1">
      <c r="A111" s="84"/>
      <c r="B111" s="619" t="s">
        <v>120</v>
      </c>
      <c r="C111" s="619"/>
      <c r="D111" s="101" t="s">
        <v>117</v>
      </c>
      <c r="E111" s="101"/>
      <c r="F111" s="101"/>
      <c r="G111" s="101"/>
    </row>
    <row r="112" spans="1:7" ht="15" customHeight="1">
      <c r="A112" s="84"/>
      <c r="B112" s="619" t="s">
        <v>121</v>
      </c>
      <c r="C112" s="619"/>
      <c r="D112" s="101" t="s">
        <v>85</v>
      </c>
      <c r="E112" s="101"/>
      <c r="F112" s="101"/>
      <c r="G112" s="101">
        <f>E111*E112*F112</f>
        <v>0</v>
      </c>
    </row>
    <row r="113" spans="1:7" ht="15" customHeight="1">
      <c r="A113" s="84" t="s">
        <v>22</v>
      </c>
      <c r="B113" s="630" t="s">
        <v>99</v>
      </c>
      <c r="C113" s="630"/>
      <c r="D113" s="101"/>
      <c r="E113" s="101"/>
      <c r="F113" s="101"/>
      <c r="G113" s="101"/>
    </row>
    <row r="114" spans="1:7" ht="15" customHeight="1">
      <c r="A114" s="84"/>
      <c r="B114" s="619" t="s">
        <v>97</v>
      </c>
      <c r="C114" s="619"/>
      <c r="D114" s="101" t="s">
        <v>91</v>
      </c>
      <c r="E114" s="101">
        <v>16</v>
      </c>
      <c r="F114" s="101"/>
      <c r="G114" s="101"/>
    </row>
    <row r="115" spans="1:7" ht="15" customHeight="1">
      <c r="A115" s="84"/>
      <c r="B115" s="619" t="s">
        <v>102</v>
      </c>
      <c r="C115" s="619"/>
      <c r="D115" s="101" t="s">
        <v>85</v>
      </c>
      <c r="E115" s="101"/>
      <c r="F115" s="101">
        <v>3.71</v>
      </c>
      <c r="G115" s="103">
        <f>E114*F115</f>
        <v>59.36</v>
      </c>
    </row>
    <row r="116" spans="1:7" ht="14.25" customHeight="1">
      <c r="A116" s="84" t="s">
        <v>72</v>
      </c>
      <c r="B116" s="613" t="s">
        <v>122</v>
      </c>
      <c r="C116" s="613"/>
      <c r="D116" s="101" t="s">
        <v>91</v>
      </c>
      <c r="E116" s="101"/>
      <c r="F116" s="101"/>
      <c r="G116" s="101">
        <f>E116*F116</f>
        <v>0</v>
      </c>
    </row>
    <row r="117" spans="1:7" ht="14.25" customHeight="1">
      <c r="A117" s="84"/>
      <c r="B117" s="587" t="s">
        <v>123</v>
      </c>
      <c r="C117" s="588"/>
      <c r="D117" s="84"/>
      <c r="E117" s="94"/>
      <c r="F117" s="84"/>
      <c r="G117" s="85">
        <f>SUM(G100:G116)</f>
        <v>585.8413757777936</v>
      </c>
    </row>
    <row r="118" ht="14.25">
      <c r="A118" s="67"/>
    </row>
    <row r="119" ht="14.25">
      <c r="A119" s="76" t="s">
        <v>124</v>
      </c>
    </row>
    <row r="120" ht="15" thickBot="1">
      <c r="A120" s="76"/>
    </row>
    <row r="121" spans="1:9" ht="29.25" customHeight="1">
      <c r="A121" s="96" t="s">
        <v>37</v>
      </c>
      <c r="B121" s="105" t="s">
        <v>38</v>
      </c>
      <c r="C121" s="106"/>
      <c r="D121" s="77" t="s">
        <v>39</v>
      </c>
      <c r="E121" s="108" t="s">
        <v>207</v>
      </c>
      <c r="F121" s="78" t="s">
        <v>58</v>
      </c>
      <c r="G121" s="78" t="s">
        <v>59</v>
      </c>
      <c r="H121" s="109"/>
      <c r="I121" s="110"/>
    </row>
    <row r="122" spans="1:9" ht="15" customHeight="1">
      <c r="A122" s="84" t="s">
        <v>9</v>
      </c>
      <c r="B122" s="613" t="s">
        <v>125</v>
      </c>
      <c r="C122" s="613"/>
      <c r="D122" s="101" t="s">
        <v>96</v>
      </c>
      <c r="E122" s="101">
        <v>1</v>
      </c>
      <c r="F122" s="101"/>
      <c r="G122" s="101"/>
      <c r="H122" s="89"/>
      <c r="I122" s="110"/>
    </row>
    <row r="123" spans="1:9" ht="15" customHeight="1">
      <c r="A123" s="84" t="s">
        <v>45</v>
      </c>
      <c r="B123" s="613" t="s">
        <v>126</v>
      </c>
      <c r="C123" s="613"/>
      <c r="D123" s="101" t="s">
        <v>127</v>
      </c>
      <c r="E123" s="101">
        <v>90</v>
      </c>
      <c r="F123" s="101"/>
      <c r="G123" s="101"/>
      <c r="H123" s="89"/>
      <c r="I123" s="110"/>
    </row>
    <row r="124" spans="1:9" ht="26.25" customHeight="1">
      <c r="A124" s="84" t="s">
        <v>14</v>
      </c>
      <c r="B124" s="613" t="s">
        <v>128</v>
      </c>
      <c r="C124" s="613"/>
      <c r="D124" s="101" t="s">
        <v>129</v>
      </c>
      <c r="E124" s="101"/>
      <c r="F124" s="107"/>
      <c r="G124" s="103">
        <f>E122*E124*F124</f>
        <v>0</v>
      </c>
      <c r="H124" s="89"/>
      <c r="I124" s="110"/>
    </row>
    <row r="125" spans="1:9" ht="14.25" customHeight="1">
      <c r="A125" s="84" t="s">
        <v>49</v>
      </c>
      <c r="B125" s="613" t="s">
        <v>130</v>
      </c>
      <c r="C125" s="613"/>
      <c r="D125" s="101" t="s">
        <v>131</v>
      </c>
      <c r="E125" s="101"/>
      <c r="F125" s="101"/>
      <c r="G125" s="101"/>
      <c r="H125" s="89"/>
      <c r="I125" s="110"/>
    </row>
    <row r="126" spans="1:9" ht="15" customHeight="1">
      <c r="A126" s="84"/>
      <c r="B126" s="613" t="s">
        <v>132</v>
      </c>
      <c r="C126" s="613"/>
      <c r="D126" s="101" t="s">
        <v>131</v>
      </c>
      <c r="E126" s="101"/>
      <c r="F126" s="101"/>
      <c r="G126" s="101">
        <f>E126*F126</f>
        <v>0</v>
      </c>
      <c r="H126" s="89"/>
      <c r="I126" s="110"/>
    </row>
    <row r="127" spans="1:9" ht="15">
      <c r="A127" s="84"/>
      <c r="B127" s="613" t="s">
        <v>133</v>
      </c>
      <c r="C127" s="613"/>
      <c r="D127" s="101" t="s">
        <v>131</v>
      </c>
      <c r="E127" s="341">
        <f>6.6/100*E123</f>
        <v>5.94</v>
      </c>
      <c r="F127" s="111">
        <v>15.83</v>
      </c>
      <c r="G127" s="103">
        <f>E127*F127</f>
        <v>94.03020000000001</v>
      </c>
      <c r="H127" s="89"/>
      <c r="I127" s="110"/>
    </row>
    <row r="128" spans="1:9" ht="15">
      <c r="A128" s="84"/>
      <c r="B128" s="613" t="s">
        <v>134</v>
      </c>
      <c r="C128" s="613"/>
      <c r="D128" s="101" t="s">
        <v>131</v>
      </c>
      <c r="E128" s="101"/>
      <c r="F128" s="101"/>
      <c r="G128" s="101">
        <f>E128*F128</f>
        <v>0</v>
      </c>
      <c r="H128" s="89"/>
      <c r="I128" s="110"/>
    </row>
    <row r="129" spans="1:9" ht="15">
      <c r="A129" s="84"/>
      <c r="B129" s="587" t="s">
        <v>135</v>
      </c>
      <c r="C129" s="588"/>
      <c r="D129" s="84"/>
      <c r="E129" s="94"/>
      <c r="F129" s="84"/>
      <c r="G129" s="85">
        <f>SUM(G122:G128)</f>
        <v>94.03020000000001</v>
      </c>
      <c r="H129" s="89"/>
      <c r="I129" s="110"/>
    </row>
    <row r="130" spans="1:9" ht="12.75">
      <c r="A130" s="104"/>
      <c r="B130" s="104"/>
      <c r="C130" s="104"/>
      <c r="D130" s="104"/>
      <c r="E130" s="104"/>
      <c r="F130" s="104"/>
      <c r="G130" s="104"/>
      <c r="H130" s="104"/>
      <c r="I130" s="104"/>
    </row>
    <row r="131" ht="15" thickBot="1">
      <c r="A131" s="76" t="s">
        <v>136</v>
      </c>
    </row>
    <row r="132" spans="1:7" ht="28.5" customHeight="1">
      <c r="A132" s="96" t="s">
        <v>37</v>
      </c>
      <c r="B132" s="105" t="s">
        <v>38</v>
      </c>
      <c r="C132" s="106"/>
      <c r="D132" s="78" t="s">
        <v>39</v>
      </c>
      <c r="E132" s="78" t="s">
        <v>207</v>
      </c>
      <c r="F132" s="78" t="s">
        <v>58</v>
      </c>
      <c r="G132" s="78" t="s">
        <v>59</v>
      </c>
    </row>
    <row r="133" spans="1:7" ht="14.25" customHeight="1">
      <c r="A133" s="84" t="s">
        <v>9</v>
      </c>
      <c r="B133" s="613" t="s">
        <v>137</v>
      </c>
      <c r="C133" s="613"/>
      <c r="D133" s="84" t="s">
        <v>138</v>
      </c>
      <c r="E133" s="101">
        <v>4</v>
      </c>
      <c r="F133" s="101"/>
      <c r="G133" s="101"/>
    </row>
    <row r="134" spans="1:7" ht="14.25" customHeight="1">
      <c r="A134" s="84" t="s">
        <v>45</v>
      </c>
      <c r="B134" s="613" t="s">
        <v>139</v>
      </c>
      <c r="C134" s="613"/>
      <c r="D134" s="622"/>
      <c r="E134" s="622"/>
      <c r="F134" s="622"/>
      <c r="G134" s="622"/>
    </row>
    <row r="135" spans="1:7" ht="14.25" customHeight="1">
      <c r="A135" s="84" t="s">
        <v>14</v>
      </c>
      <c r="B135" s="613" t="s">
        <v>140</v>
      </c>
      <c r="C135" s="613"/>
      <c r="D135" s="622"/>
      <c r="E135" s="622"/>
      <c r="F135" s="622"/>
      <c r="G135" s="622"/>
    </row>
    <row r="136" spans="1:7" ht="15" customHeight="1">
      <c r="A136" s="84" t="s">
        <v>49</v>
      </c>
      <c r="B136" s="613" t="s">
        <v>141</v>
      </c>
      <c r="C136" s="613"/>
      <c r="D136" s="84" t="s">
        <v>138</v>
      </c>
      <c r="E136" s="101">
        <v>1</v>
      </c>
      <c r="F136" s="101">
        <v>25</v>
      </c>
      <c r="G136" s="101">
        <f>E136*F136*E133</f>
        <v>100</v>
      </c>
    </row>
    <row r="137" spans="1:7" ht="15" customHeight="1">
      <c r="A137" s="84" t="s">
        <v>19</v>
      </c>
      <c r="B137" s="613" t="s">
        <v>142</v>
      </c>
      <c r="C137" s="613"/>
      <c r="D137" s="84" t="s">
        <v>138</v>
      </c>
      <c r="E137" s="101">
        <v>2</v>
      </c>
      <c r="F137" s="101">
        <v>150</v>
      </c>
      <c r="G137" s="101">
        <f>E137*F137*E133</f>
        <v>1200</v>
      </c>
    </row>
    <row r="138" spans="1:7" ht="15" customHeight="1">
      <c r="A138" s="84" t="s">
        <v>54</v>
      </c>
      <c r="B138" s="613" t="s">
        <v>143</v>
      </c>
      <c r="C138" s="613"/>
      <c r="D138" s="84" t="s">
        <v>85</v>
      </c>
      <c r="E138" s="101"/>
      <c r="F138" s="101"/>
      <c r="G138" s="101">
        <f>E133*F138</f>
        <v>0</v>
      </c>
    </row>
    <row r="139" spans="1:7" ht="15" customHeight="1">
      <c r="A139" s="84" t="s">
        <v>22</v>
      </c>
      <c r="B139" s="613" t="s">
        <v>144</v>
      </c>
      <c r="C139" s="613"/>
      <c r="D139" s="84" t="s">
        <v>85</v>
      </c>
      <c r="E139" s="101"/>
      <c r="F139" s="101"/>
      <c r="G139" s="101">
        <f>E133*F139</f>
        <v>0</v>
      </c>
    </row>
    <row r="140" spans="1:7" ht="15" customHeight="1">
      <c r="A140" s="84" t="s">
        <v>72</v>
      </c>
      <c r="B140" s="613" t="s">
        <v>145</v>
      </c>
      <c r="C140" s="613"/>
      <c r="D140" s="84" t="s">
        <v>85</v>
      </c>
      <c r="E140" s="101"/>
      <c r="F140" s="101"/>
      <c r="G140" s="101">
        <f>E133*F140</f>
        <v>0</v>
      </c>
    </row>
    <row r="141" spans="1:7" ht="15" customHeight="1">
      <c r="A141" s="84" t="s">
        <v>26</v>
      </c>
      <c r="B141" s="613" t="s">
        <v>146</v>
      </c>
      <c r="C141" s="613"/>
      <c r="D141" s="84" t="s">
        <v>85</v>
      </c>
      <c r="E141" s="101"/>
      <c r="F141" s="101"/>
      <c r="G141" s="101">
        <f>F141</f>
        <v>0</v>
      </c>
    </row>
    <row r="142" spans="1:7" ht="14.25">
      <c r="A142" s="84"/>
      <c r="B142" s="587" t="s">
        <v>147</v>
      </c>
      <c r="C142" s="588"/>
      <c r="D142" s="84"/>
      <c r="E142" s="94"/>
      <c r="F142" s="84"/>
      <c r="G142" s="85">
        <f>SUM(G136:G141)</f>
        <v>1300</v>
      </c>
    </row>
    <row r="143" ht="14.25">
      <c r="A143" s="67"/>
    </row>
    <row r="144" ht="14.25">
      <c r="A144" s="67"/>
    </row>
    <row r="145" ht="14.25">
      <c r="A145" s="76" t="s">
        <v>148</v>
      </c>
    </row>
    <row r="146" ht="15" thickBot="1">
      <c r="A146" s="76"/>
    </row>
    <row r="147" spans="1:7" ht="28.5" customHeight="1">
      <c r="A147" s="96" t="s">
        <v>37</v>
      </c>
      <c r="B147" s="598" t="s">
        <v>38</v>
      </c>
      <c r="C147" s="599"/>
      <c r="D147" s="77" t="s">
        <v>39</v>
      </c>
      <c r="E147" s="78" t="s">
        <v>207</v>
      </c>
      <c r="F147" s="78" t="s">
        <v>58</v>
      </c>
      <c r="G147" s="78" t="s">
        <v>59</v>
      </c>
    </row>
    <row r="148" spans="1:7" ht="14.25" customHeight="1">
      <c r="A148" s="84" t="s">
        <v>9</v>
      </c>
      <c r="B148" s="613" t="s">
        <v>149</v>
      </c>
      <c r="C148" s="613"/>
      <c r="D148" s="84" t="s">
        <v>85</v>
      </c>
      <c r="E148" s="101"/>
      <c r="F148" s="101"/>
      <c r="G148" s="101"/>
    </row>
    <row r="149" spans="1:7" ht="14.25" customHeight="1">
      <c r="A149" s="84" t="s">
        <v>45</v>
      </c>
      <c r="B149" s="613" t="s">
        <v>150</v>
      </c>
      <c r="C149" s="613"/>
      <c r="D149" s="84" t="s">
        <v>85</v>
      </c>
      <c r="E149" s="101"/>
      <c r="F149" s="101"/>
      <c r="G149" s="101"/>
    </row>
    <row r="150" spans="1:7" ht="15" customHeight="1">
      <c r="A150" s="84" t="s">
        <v>14</v>
      </c>
      <c r="B150" s="613" t="s">
        <v>365</v>
      </c>
      <c r="C150" s="613"/>
      <c r="D150" s="84" t="s">
        <v>96</v>
      </c>
      <c r="E150" s="107">
        <f>30/24</f>
        <v>1.25</v>
      </c>
      <c r="F150" s="101">
        <v>271.78</v>
      </c>
      <c r="G150" s="103">
        <f>E150*F150</f>
        <v>339.72499999999997</v>
      </c>
    </row>
    <row r="151" spans="1:7" ht="14.25">
      <c r="A151" s="84" t="s">
        <v>49</v>
      </c>
      <c r="B151" s="613" t="s">
        <v>315</v>
      </c>
      <c r="C151" s="613"/>
      <c r="D151" s="84" t="s">
        <v>96</v>
      </c>
      <c r="E151" s="101">
        <f>30/24</f>
        <v>1.25</v>
      </c>
      <c r="F151" s="101">
        <v>14</v>
      </c>
      <c r="G151" s="101">
        <f>E151*F151</f>
        <v>17.5</v>
      </c>
    </row>
    <row r="152" spans="1:7" ht="15" customHeight="1">
      <c r="A152" s="84" t="s">
        <v>19</v>
      </c>
      <c r="B152" s="613" t="s">
        <v>153</v>
      </c>
      <c r="C152" s="613"/>
      <c r="D152" s="84"/>
      <c r="E152" s="101"/>
      <c r="F152" s="101"/>
      <c r="G152" s="101">
        <f>E152*F152</f>
        <v>0</v>
      </c>
    </row>
    <row r="153" spans="1:7" ht="15" customHeight="1">
      <c r="A153" s="84" t="s">
        <v>54</v>
      </c>
      <c r="B153" s="613" t="s">
        <v>154</v>
      </c>
      <c r="C153" s="613"/>
      <c r="D153" s="84"/>
      <c r="E153" s="101"/>
      <c r="F153" s="101"/>
      <c r="G153" s="101"/>
    </row>
    <row r="154" spans="1:7" ht="15" customHeight="1">
      <c r="A154" s="84" t="s">
        <v>22</v>
      </c>
      <c r="B154" s="613" t="s">
        <v>155</v>
      </c>
      <c r="C154" s="613"/>
      <c r="D154" s="84"/>
      <c r="E154" s="101"/>
      <c r="F154" s="101"/>
      <c r="G154" s="101"/>
    </row>
    <row r="155" spans="1:7" ht="15" customHeight="1">
      <c r="A155" s="84" t="s">
        <v>72</v>
      </c>
      <c r="B155" s="613" t="s">
        <v>156</v>
      </c>
      <c r="C155" s="613"/>
      <c r="D155" s="84"/>
      <c r="E155" s="101"/>
      <c r="F155" s="101"/>
      <c r="G155" s="101">
        <f>E155*F155</f>
        <v>0</v>
      </c>
    </row>
    <row r="156" spans="1:7" ht="16.5" customHeight="1">
      <c r="A156" s="84" t="s">
        <v>26</v>
      </c>
      <c r="B156" s="613" t="s">
        <v>306</v>
      </c>
      <c r="C156" s="613"/>
      <c r="D156" s="84" t="s">
        <v>85</v>
      </c>
      <c r="E156" s="101"/>
      <c r="F156" s="101"/>
      <c r="G156" s="101"/>
    </row>
    <row r="157" spans="1:7" ht="15" customHeight="1">
      <c r="A157" s="84"/>
      <c r="B157" s="587" t="s">
        <v>158</v>
      </c>
      <c r="C157" s="588"/>
      <c r="D157" s="84"/>
      <c r="E157" s="94"/>
      <c r="F157" s="84"/>
      <c r="G157" s="85">
        <f>SUM(G148:G156)</f>
        <v>357.22499999999997</v>
      </c>
    </row>
    <row r="158" ht="14.25">
      <c r="A158" s="67"/>
    </row>
    <row r="159" ht="14.25">
      <c r="A159" s="76" t="s">
        <v>159</v>
      </c>
    </row>
    <row r="160" ht="15" thickBot="1">
      <c r="A160" s="76"/>
    </row>
    <row r="161" spans="1:7" ht="28.5" customHeight="1">
      <c r="A161" s="623" t="s">
        <v>37</v>
      </c>
      <c r="B161" s="598" t="s">
        <v>38</v>
      </c>
      <c r="C161" s="599"/>
      <c r="D161" s="77" t="s">
        <v>39</v>
      </c>
      <c r="E161" s="78" t="s">
        <v>207</v>
      </c>
      <c r="F161" s="78" t="s">
        <v>58</v>
      </c>
      <c r="G161" s="78" t="s">
        <v>59</v>
      </c>
    </row>
    <row r="162" spans="1:7" ht="15" customHeight="1">
      <c r="A162" s="624"/>
      <c r="B162" s="600"/>
      <c r="C162" s="612"/>
      <c r="D162" s="112"/>
      <c r="E162" s="113"/>
      <c r="F162" s="113"/>
      <c r="G162" s="113"/>
    </row>
    <row r="163" spans="1:7" ht="15" customHeight="1">
      <c r="A163" s="84" t="s">
        <v>9</v>
      </c>
      <c r="B163" s="622" t="s">
        <v>160</v>
      </c>
      <c r="C163" s="622"/>
      <c r="D163" s="84" t="s">
        <v>85</v>
      </c>
      <c r="E163" s="84"/>
      <c r="F163" s="84"/>
      <c r="G163" s="84">
        <f>E163*F163</f>
        <v>0</v>
      </c>
    </row>
    <row r="164" spans="1:7" ht="15" customHeight="1">
      <c r="A164" s="84"/>
      <c r="B164" s="618"/>
      <c r="C164" s="618"/>
      <c r="D164" s="84"/>
      <c r="E164" s="84"/>
      <c r="F164" s="84"/>
      <c r="G164" s="84"/>
    </row>
    <row r="165" spans="1:7" ht="15" customHeight="1">
      <c r="A165" s="84"/>
      <c r="B165" s="587" t="s">
        <v>161</v>
      </c>
      <c r="C165" s="588"/>
      <c r="D165" s="84"/>
      <c r="E165" s="84"/>
      <c r="F165" s="84"/>
      <c r="G165" s="84">
        <f>SUM(G163:G164)</f>
        <v>0</v>
      </c>
    </row>
    <row r="166" ht="15" customHeight="1">
      <c r="A166" s="67"/>
    </row>
    <row r="167" ht="14.25">
      <c r="A167" s="76" t="s">
        <v>162</v>
      </c>
    </row>
    <row r="168" ht="15" thickBot="1">
      <c r="A168" s="76"/>
    </row>
    <row r="169" spans="1:7" ht="28.5" customHeight="1">
      <c r="A169" s="96" t="s">
        <v>37</v>
      </c>
      <c r="B169" s="598" t="s">
        <v>38</v>
      </c>
      <c r="C169" s="599"/>
      <c r="D169" s="77" t="s">
        <v>39</v>
      </c>
      <c r="E169" s="78" t="s">
        <v>207</v>
      </c>
      <c r="F169" s="78" t="s">
        <v>58</v>
      </c>
      <c r="G169" s="78" t="s">
        <v>59</v>
      </c>
    </row>
    <row r="170" spans="1:7" ht="14.25" customHeight="1">
      <c r="A170" s="84" t="s">
        <v>9</v>
      </c>
      <c r="B170" s="613" t="s">
        <v>163</v>
      </c>
      <c r="C170" s="613"/>
      <c r="D170" s="84"/>
      <c r="E170" s="84"/>
      <c r="F170" s="84"/>
      <c r="G170" s="84"/>
    </row>
    <row r="171" spans="1:7" ht="14.25" customHeight="1">
      <c r="A171" s="84"/>
      <c r="B171" s="613" t="s">
        <v>164</v>
      </c>
      <c r="C171" s="613"/>
      <c r="D171" s="84" t="s">
        <v>165</v>
      </c>
      <c r="E171" s="101" t="s">
        <v>232</v>
      </c>
      <c r="F171" s="101">
        <v>77</v>
      </c>
      <c r="G171" s="101">
        <f>10*77</f>
        <v>770</v>
      </c>
    </row>
    <row r="172" spans="1:7" ht="14.25" customHeight="1">
      <c r="A172" s="84"/>
      <c r="B172" s="613" t="s">
        <v>167</v>
      </c>
      <c r="C172" s="613"/>
      <c r="D172" s="84" t="s">
        <v>165</v>
      </c>
      <c r="E172" s="101" t="s">
        <v>291</v>
      </c>
      <c r="F172" s="101">
        <v>77</v>
      </c>
      <c r="G172" s="101">
        <f>15*77</f>
        <v>1155</v>
      </c>
    </row>
    <row r="173" spans="1:7" ht="14.25" customHeight="1">
      <c r="A173" s="84"/>
      <c r="B173" s="613" t="s">
        <v>168</v>
      </c>
      <c r="C173" s="613"/>
      <c r="D173" s="84" t="s">
        <v>165</v>
      </c>
      <c r="E173" s="101" t="s">
        <v>232</v>
      </c>
      <c r="F173" s="101">
        <v>49</v>
      </c>
      <c r="G173" s="101">
        <f>10*F173</f>
        <v>490</v>
      </c>
    </row>
    <row r="174" spans="1:7" ht="29.25" customHeight="1">
      <c r="A174" s="84" t="s">
        <v>45</v>
      </c>
      <c r="B174" s="613" t="s">
        <v>170</v>
      </c>
      <c r="C174" s="613"/>
      <c r="D174" s="84" t="s">
        <v>165</v>
      </c>
      <c r="E174" s="101"/>
      <c r="F174" s="101"/>
      <c r="G174" s="101">
        <f>E174*F174</f>
        <v>0</v>
      </c>
    </row>
    <row r="175" spans="1:7" ht="15" customHeight="1">
      <c r="A175" s="84" t="s">
        <v>14</v>
      </c>
      <c r="B175" s="613" t="s">
        <v>171</v>
      </c>
      <c r="C175" s="613"/>
      <c r="D175" s="84" t="s">
        <v>85</v>
      </c>
      <c r="E175" s="101"/>
      <c r="F175" s="101"/>
      <c r="G175" s="101">
        <f>E175*F175</f>
        <v>0</v>
      </c>
    </row>
    <row r="176" spans="1:9" ht="15" customHeight="1">
      <c r="A176" s="84" t="s">
        <v>49</v>
      </c>
      <c r="B176" s="613" t="s">
        <v>172</v>
      </c>
      <c r="C176" s="613"/>
      <c r="D176" s="84" t="s">
        <v>91</v>
      </c>
      <c r="E176" s="101" t="s">
        <v>292</v>
      </c>
      <c r="F176" s="160">
        <f>23700*1.27/712.5</f>
        <v>42.24421052631579</v>
      </c>
      <c r="G176" s="156">
        <f>6/60*F176</f>
        <v>4.2244210526315795</v>
      </c>
      <c r="H176" s="119"/>
      <c r="I176" s="119" t="s">
        <v>173</v>
      </c>
    </row>
    <row r="177" spans="1:7" ht="15" customHeight="1">
      <c r="A177" s="84" t="s">
        <v>19</v>
      </c>
      <c r="B177" s="613" t="s">
        <v>174</v>
      </c>
      <c r="C177" s="613"/>
      <c r="D177" s="84" t="s">
        <v>43</v>
      </c>
      <c r="E177" s="101" t="s">
        <v>232</v>
      </c>
      <c r="F177" s="107">
        <f>F50*1.27</f>
        <v>38.84257871064468</v>
      </c>
      <c r="G177" s="103">
        <f>10/60*F177</f>
        <v>6.47376311844078</v>
      </c>
    </row>
    <row r="178" spans="1:9" ht="14.25" customHeight="1">
      <c r="A178" s="84" t="s">
        <v>54</v>
      </c>
      <c r="B178" s="613" t="s">
        <v>175</v>
      </c>
      <c r="C178" s="613"/>
      <c r="D178" s="84" t="s">
        <v>43</v>
      </c>
      <c r="E178" s="235" t="s">
        <v>290</v>
      </c>
      <c r="F178" s="322">
        <f>16900*1.27/210</f>
        <v>102.20476190476191</v>
      </c>
      <c r="G178" s="290">
        <f>5/60*F178</f>
        <v>8.517063492063492</v>
      </c>
      <c r="H178" s="243"/>
      <c r="I178" s="325" t="s">
        <v>544</v>
      </c>
    </row>
    <row r="179" spans="1:7" ht="14.25" customHeight="1">
      <c r="A179" s="84" t="s">
        <v>22</v>
      </c>
      <c r="B179" s="613" t="s">
        <v>176</v>
      </c>
      <c r="C179" s="613"/>
      <c r="D179" s="84" t="s">
        <v>43</v>
      </c>
      <c r="E179" s="101"/>
      <c r="F179" s="101"/>
      <c r="G179" s="101">
        <f>E179*F179</f>
        <v>0</v>
      </c>
    </row>
    <row r="180" spans="1:7" ht="15" customHeight="1">
      <c r="A180" s="84" t="s">
        <v>72</v>
      </c>
      <c r="B180" s="613" t="s">
        <v>209</v>
      </c>
      <c r="C180" s="613"/>
      <c r="D180" s="84" t="s">
        <v>85</v>
      </c>
      <c r="E180" s="101"/>
      <c r="F180" s="101"/>
      <c r="G180" s="101">
        <f>E180*F180</f>
        <v>0</v>
      </c>
    </row>
    <row r="181" spans="1:7" ht="15" customHeight="1">
      <c r="A181" s="84"/>
      <c r="B181" s="587" t="s">
        <v>177</v>
      </c>
      <c r="C181" s="588"/>
      <c r="D181" s="84"/>
      <c r="E181" s="84"/>
      <c r="F181" s="84"/>
      <c r="G181" s="85">
        <f>SUM(G171:G180)</f>
        <v>2434.215247663136</v>
      </c>
    </row>
    <row r="182" ht="13.5" customHeight="1">
      <c r="A182" s="67"/>
    </row>
    <row r="183" ht="14.25">
      <c r="A183" s="76" t="s">
        <v>178</v>
      </c>
    </row>
    <row r="184" ht="15" thickBot="1">
      <c r="A184" s="76"/>
    </row>
    <row r="185" spans="1:7" ht="28.5" customHeight="1">
      <c r="A185" s="96" t="s">
        <v>37</v>
      </c>
      <c r="B185" s="598" t="s">
        <v>38</v>
      </c>
      <c r="C185" s="599"/>
      <c r="D185" s="77" t="s">
        <v>39</v>
      </c>
      <c r="E185" s="78" t="s">
        <v>207</v>
      </c>
      <c r="F185" s="78" t="s">
        <v>58</v>
      </c>
      <c r="G185" s="78" t="s">
        <v>59</v>
      </c>
    </row>
    <row r="186" spans="1:7" ht="15" customHeight="1">
      <c r="A186" s="84" t="s">
        <v>9</v>
      </c>
      <c r="B186" s="613" t="s">
        <v>179</v>
      </c>
      <c r="C186" s="613"/>
      <c r="D186" s="84" t="s">
        <v>180</v>
      </c>
      <c r="E186" s="101"/>
      <c r="F186" s="101"/>
      <c r="G186" s="101">
        <f>E186*F186</f>
        <v>0</v>
      </c>
    </row>
    <row r="187" spans="1:7" ht="15" customHeight="1">
      <c r="A187" s="84" t="s">
        <v>45</v>
      </c>
      <c r="B187" s="613" t="s">
        <v>181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 t="s">
        <v>14</v>
      </c>
      <c r="B188" s="613" t="s">
        <v>182</v>
      </c>
      <c r="C188" s="613"/>
      <c r="D188" s="84" t="s">
        <v>180</v>
      </c>
      <c r="E188" s="101"/>
      <c r="F188" s="101"/>
      <c r="G188" s="101">
        <f>E188*F188</f>
        <v>0</v>
      </c>
    </row>
    <row r="189" spans="1:7" ht="15" customHeight="1">
      <c r="A189" s="84"/>
      <c r="B189" s="587" t="s">
        <v>183</v>
      </c>
      <c r="C189" s="588"/>
      <c r="D189" s="84"/>
      <c r="E189" s="84"/>
      <c r="F189" s="84"/>
      <c r="G189" s="85">
        <f>SUM(G186:G188)</f>
        <v>0</v>
      </c>
    </row>
    <row r="190" ht="14.25">
      <c r="A190" s="67"/>
    </row>
    <row r="191" ht="14.25">
      <c r="A191" s="67"/>
    </row>
    <row r="192" ht="14.25">
      <c r="A192" s="67" t="s">
        <v>184</v>
      </c>
    </row>
    <row r="193" ht="15" thickBot="1">
      <c r="A193" s="67"/>
    </row>
    <row r="194" spans="1:7" ht="28.5" customHeight="1">
      <c r="A194" s="96" t="s">
        <v>37</v>
      </c>
      <c r="B194" s="598" t="s">
        <v>38</v>
      </c>
      <c r="C194" s="599"/>
      <c r="D194" s="77" t="s">
        <v>39</v>
      </c>
      <c r="E194" s="78" t="s">
        <v>210</v>
      </c>
      <c r="F194" s="78" t="s">
        <v>58</v>
      </c>
      <c r="G194" s="78" t="s">
        <v>59</v>
      </c>
    </row>
    <row r="195" spans="1:7" ht="15" customHeight="1">
      <c r="A195" s="84" t="s">
        <v>9</v>
      </c>
      <c r="B195" s="613" t="s">
        <v>185</v>
      </c>
      <c r="C195" s="613"/>
      <c r="D195" s="84" t="s">
        <v>85</v>
      </c>
      <c r="E195" s="101">
        <v>0.75</v>
      </c>
      <c r="F195" s="101">
        <v>32.6</v>
      </c>
      <c r="G195" s="103">
        <f>E195*F195</f>
        <v>24.450000000000003</v>
      </c>
    </row>
    <row r="196" spans="1:7" ht="14.25" customHeight="1">
      <c r="A196" s="84" t="s">
        <v>45</v>
      </c>
      <c r="B196" s="613" t="s">
        <v>186</v>
      </c>
      <c r="C196" s="613"/>
      <c r="D196" s="84" t="s">
        <v>85</v>
      </c>
      <c r="E196" s="114"/>
      <c r="F196" s="44">
        <f>(1151.55+210.41+5.7+145.58)*1.2</f>
        <v>1815.888</v>
      </c>
      <c r="G196" s="103">
        <f>F196*E195</f>
        <v>1361.916</v>
      </c>
    </row>
    <row r="197" spans="1:7" ht="14.25" customHeight="1">
      <c r="A197" s="84" t="s">
        <v>14</v>
      </c>
      <c r="B197" s="613" t="s">
        <v>187</v>
      </c>
      <c r="C197" s="613"/>
      <c r="D197" s="84" t="s">
        <v>85</v>
      </c>
      <c r="E197" s="114"/>
      <c r="F197" s="114"/>
      <c r="G197" s="114"/>
    </row>
    <row r="198" spans="1:7" ht="14.25">
      <c r="A198" s="84" t="s">
        <v>49</v>
      </c>
      <c r="B198" s="613" t="s">
        <v>188</v>
      </c>
      <c r="C198" s="613"/>
      <c r="D198" s="84" t="s">
        <v>85</v>
      </c>
      <c r="E198" s="114"/>
      <c r="F198" s="114"/>
      <c r="G198" s="114"/>
    </row>
    <row r="199" spans="1:7" ht="15" customHeight="1">
      <c r="A199" s="84" t="s">
        <v>19</v>
      </c>
      <c r="B199" s="613" t="s">
        <v>189</v>
      </c>
      <c r="C199" s="613"/>
      <c r="D199" s="84" t="s">
        <v>85</v>
      </c>
      <c r="E199" s="114"/>
      <c r="F199" s="114"/>
      <c r="G199" s="114"/>
    </row>
    <row r="200" spans="1:10" ht="15" customHeight="1">
      <c r="A200" s="84" t="s">
        <v>54</v>
      </c>
      <c r="B200" s="613" t="s">
        <v>190</v>
      </c>
      <c r="C200" s="613"/>
      <c r="D200" s="84" t="s">
        <v>101</v>
      </c>
      <c r="E200" s="241">
        <f>J200/F200</f>
        <v>27.1122375502575</v>
      </c>
      <c r="F200" s="43">
        <v>1.68</v>
      </c>
      <c r="G200" s="240">
        <f>E200*F200</f>
        <v>45.5485590844326</v>
      </c>
      <c r="H200" s="54"/>
      <c r="I200" s="448">
        <f>1288300*0.4/8485.23</f>
        <v>60.7314121125768</v>
      </c>
      <c r="J200" s="448">
        <f>I200*E195</f>
        <v>45.5485590844326</v>
      </c>
    </row>
    <row r="201" spans="1:10" ht="15" customHeight="1">
      <c r="A201" s="84" t="s">
        <v>22</v>
      </c>
      <c r="B201" s="613" t="s">
        <v>191</v>
      </c>
      <c r="C201" s="613"/>
      <c r="D201" s="84" t="s">
        <v>192</v>
      </c>
      <c r="E201" s="446">
        <f>J201/F201</f>
        <v>0.15087453930809802</v>
      </c>
      <c r="F201" s="43">
        <f>987*1.2</f>
        <v>1184.3999999999999</v>
      </c>
      <c r="G201" s="240">
        <f>E201*F201</f>
        <v>178.69580435651127</v>
      </c>
      <c r="H201" s="54"/>
      <c r="I201" s="448">
        <f>2021700/8485.23</f>
        <v>238.26107247534836</v>
      </c>
      <c r="J201" s="448">
        <f>I201*E195</f>
        <v>178.69580435651127</v>
      </c>
    </row>
    <row r="202" spans="1:10" ht="15" customHeight="1">
      <c r="A202" s="84" t="s">
        <v>72</v>
      </c>
      <c r="B202" s="613" t="s">
        <v>193</v>
      </c>
      <c r="C202" s="613"/>
      <c r="D202" s="84" t="s">
        <v>85</v>
      </c>
      <c r="E202" s="447"/>
      <c r="F202" s="241">
        <f>(229000+16300)/8485.23</f>
        <v>28.909057267746427</v>
      </c>
      <c r="G202" s="240">
        <f>F202*E195</f>
        <v>21.68179295080982</v>
      </c>
      <c r="H202" s="54"/>
      <c r="I202" s="54"/>
      <c r="J202" s="54"/>
    </row>
    <row r="203" spans="1:10" ht="14.25" customHeight="1">
      <c r="A203" s="84" t="s">
        <v>26</v>
      </c>
      <c r="B203" s="613" t="s">
        <v>194</v>
      </c>
      <c r="C203" s="613"/>
      <c r="D203" s="84" t="s">
        <v>85</v>
      </c>
      <c r="E203" s="447"/>
      <c r="F203" s="43">
        <v>2693.4</v>
      </c>
      <c r="G203" s="240">
        <f>F203*E195</f>
        <v>2020.0500000000002</v>
      </c>
      <c r="H203" s="54"/>
      <c r="I203" s="54"/>
      <c r="J203" s="54"/>
    </row>
    <row r="204" spans="1:10" ht="15" customHeight="1">
      <c r="A204" s="84" t="s">
        <v>31</v>
      </c>
      <c r="B204" s="613" t="s">
        <v>195</v>
      </c>
      <c r="C204" s="613"/>
      <c r="D204" s="84" t="s">
        <v>85</v>
      </c>
      <c r="E204" s="447"/>
      <c r="F204" s="43">
        <v>300.6</v>
      </c>
      <c r="G204" s="240">
        <f>F204*E195</f>
        <v>225.45000000000002</v>
      </c>
      <c r="H204" s="54"/>
      <c r="I204" s="54"/>
      <c r="J204" s="54"/>
    </row>
    <row r="205" spans="1:10" ht="15" customHeight="1">
      <c r="A205" s="84" t="s">
        <v>79</v>
      </c>
      <c r="B205" s="613" t="s">
        <v>196</v>
      </c>
      <c r="C205" s="613"/>
      <c r="D205" s="84" t="s">
        <v>85</v>
      </c>
      <c r="E205" s="447"/>
      <c r="F205" s="43">
        <v>1242.8</v>
      </c>
      <c r="G205" s="240">
        <f>F205*E195</f>
        <v>932.0999999999999</v>
      </c>
      <c r="H205" s="54"/>
      <c r="I205" s="54"/>
      <c r="J205" s="54"/>
    </row>
    <row r="206" ht="14.25">
      <c r="A206" s="67"/>
    </row>
    <row r="207" ht="14.25">
      <c r="A207" s="67" t="s">
        <v>197</v>
      </c>
    </row>
    <row r="208" ht="15" thickBot="1">
      <c r="A208" s="76"/>
    </row>
    <row r="209" spans="1:7" ht="14.25" customHeight="1">
      <c r="A209" s="623" t="s">
        <v>37</v>
      </c>
      <c r="B209" s="598" t="s">
        <v>38</v>
      </c>
      <c r="C209" s="599"/>
      <c r="D209" s="77" t="s">
        <v>198</v>
      </c>
      <c r="E209" s="598" t="s">
        <v>59</v>
      </c>
      <c r="F209" s="616"/>
      <c r="G209" s="599"/>
    </row>
    <row r="210" spans="1:7" ht="14.25">
      <c r="A210" s="624"/>
      <c r="B210" s="600"/>
      <c r="C210" s="612"/>
      <c r="D210" s="112" t="s">
        <v>199</v>
      </c>
      <c r="E210" s="600"/>
      <c r="F210" s="617"/>
      <c r="G210" s="612"/>
    </row>
    <row r="211" spans="1:7" ht="15" customHeight="1">
      <c r="A211" s="84" t="s">
        <v>9</v>
      </c>
      <c r="B211" s="613" t="s">
        <v>200</v>
      </c>
      <c r="C211" s="613"/>
      <c r="D211" s="84" t="s">
        <v>85</v>
      </c>
      <c r="E211" s="614">
        <f>G44+G58+G62+G63+G96+G117+G129+G142+G157+G165+G181+G189</f>
        <v>9416.62321974278</v>
      </c>
      <c r="F211" s="615"/>
      <c r="G211" s="615"/>
    </row>
    <row r="212" spans="1:7" ht="15" customHeight="1">
      <c r="A212" s="84" t="s">
        <v>45</v>
      </c>
      <c r="B212" s="613" t="s">
        <v>201</v>
      </c>
      <c r="C212" s="613"/>
      <c r="D212" s="84" t="s">
        <v>85</v>
      </c>
      <c r="E212" s="614">
        <f>SUM(G195:G205)</f>
        <v>4809.892156391754</v>
      </c>
      <c r="F212" s="614"/>
      <c r="G212" s="614"/>
    </row>
    <row r="213" spans="1:7" ht="14.25">
      <c r="A213" s="84" t="s">
        <v>14</v>
      </c>
      <c r="B213" s="613" t="s">
        <v>202</v>
      </c>
      <c r="C213" s="613"/>
      <c r="D213" s="84" t="s">
        <v>85</v>
      </c>
      <c r="E213" s="614">
        <f>E211+E212</f>
        <v>14226.515376134534</v>
      </c>
      <c r="F213" s="614"/>
      <c r="G213" s="614"/>
    </row>
    <row r="214" spans="1:7" ht="15" customHeight="1">
      <c r="A214" s="84">
        <v>4</v>
      </c>
      <c r="B214" s="613" t="s">
        <v>203</v>
      </c>
      <c r="C214" s="613"/>
      <c r="D214" s="84" t="s">
        <v>85</v>
      </c>
      <c r="E214" s="611"/>
      <c r="F214" s="611"/>
      <c r="G214" s="611"/>
    </row>
    <row r="215" spans="1:7" ht="15" customHeight="1">
      <c r="A215" s="84" t="s">
        <v>19</v>
      </c>
      <c r="B215" s="613" t="s">
        <v>204</v>
      </c>
      <c r="C215" s="613"/>
      <c r="D215" s="84" t="s">
        <v>85</v>
      </c>
      <c r="E215" s="611">
        <f>E213-E214</f>
        <v>14226.515376134534</v>
      </c>
      <c r="F215" s="611"/>
      <c r="G215" s="611"/>
    </row>
    <row r="216" ht="14.25">
      <c r="A216" s="95"/>
    </row>
    <row r="217" ht="14.25">
      <c r="A217" s="95"/>
    </row>
    <row r="218" spans="2:3" ht="14.25">
      <c r="B218" s="116" t="s">
        <v>63</v>
      </c>
      <c r="C218" s="117"/>
    </row>
    <row r="219" ht="14.25">
      <c r="A219" s="95"/>
    </row>
    <row r="220" ht="14.25">
      <c r="B220" s="116" t="s">
        <v>206</v>
      </c>
    </row>
  </sheetData>
  <sheetProtection/>
  <mergeCells count="165">
    <mergeCell ref="B137:C137"/>
    <mergeCell ref="B139:C139"/>
    <mergeCell ref="B122:C122"/>
    <mergeCell ref="B133:C133"/>
    <mergeCell ref="B134:C134"/>
    <mergeCell ref="B135:C135"/>
    <mergeCell ref="B128:C128"/>
    <mergeCell ref="B110:C110"/>
    <mergeCell ref="B113:C113"/>
    <mergeCell ref="B114:C114"/>
    <mergeCell ref="B115:C115"/>
    <mergeCell ref="B116:C116"/>
    <mergeCell ref="B136:C136"/>
    <mergeCell ref="B71:C71"/>
    <mergeCell ref="B72:C72"/>
    <mergeCell ref="B78:C78"/>
    <mergeCell ref="B109:C109"/>
    <mergeCell ref="B94:C94"/>
    <mergeCell ref="B101:C101"/>
    <mergeCell ref="B102:C102"/>
    <mergeCell ref="B103:C103"/>
    <mergeCell ref="B100:C100"/>
    <mergeCell ref="B106:C106"/>
    <mergeCell ref="A33:A34"/>
    <mergeCell ref="B44:C44"/>
    <mergeCell ref="B62:C62"/>
    <mergeCell ref="B63:C63"/>
    <mergeCell ref="A40:A43"/>
    <mergeCell ref="B36:C36"/>
    <mergeCell ref="B37:C37"/>
    <mergeCell ref="B38:C38"/>
    <mergeCell ref="B39:C39"/>
    <mergeCell ref="B40:C40"/>
    <mergeCell ref="A209:A210"/>
    <mergeCell ref="B123:C123"/>
    <mergeCell ref="B124:C124"/>
    <mergeCell ref="B125:C125"/>
    <mergeCell ref="B126:C126"/>
    <mergeCell ref="B127:C127"/>
    <mergeCell ref="B140:C140"/>
    <mergeCell ref="A161:A162"/>
    <mergeCell ref="B161:C162"/>
    <mergeCell ref="B163:C163"/>
    <mergeCell ref="A47:A48"/>
    <mergeCell ref="D134:G134"/>
    <mergeCell ref="F47:F48"/>
    <mergeCell ref="G47:G48"/>
    <mergeCell ref="B79:C79"/>
    <mergeCell ref="B80:C80"/>
    <mergeCell ref="B69:C69"/>
    <mergeCell ref="B70:C70"/>
    <mergeCell ref="A68:C68"/>
    <mergeCell ref="A67:C67"/>
    <mergeCell ref="B84:C84"/>
    <mergeCell ref="A86:C86"/>
    <mergeCell ref="A87:C87"/>
    <mergeCell ref="A92:C92"/>
    <mergeCell ref="B104:C104"/>
    <mergeCell ref="B105:C105"/>
    <mergeCell ref="B95:C95"/>
    <mergeCell ref="B150:C150"/>
    <mergeCell ref="B151:C151"/>
    <mergeCell ref="B93:C93"/>
    <mergeCell ref="B142:C142"/>
    <mergeCell ref="D135:G135"/>
    <mergeCell ref="B85:C85"/>
    <mergeCell ref="B107:C107"/>
    <mergeCell ref="B108:C108"/>
    <mergeCell ref="B111:C111"/>
    <mergeCell ref="B112:C112"/>
    <mergeCell ref="B73:C73"/>
    <mergeCell ref="B74:C74"/>
    <mergeCell ref="B75:C75"/>
    <mergeCell ref="B76:C76"/>
    <mergeCell ref="B154:C154"/>
    <mergeCell ref="A81:C81"/>
    <mergeCell ref="A82:C82"/>
    <mergeCell ref="B153:C153"/>
    <mergeCell ref="B152:C152"/>
    <mergeCell ref="B149:C149"/>
    <mergeCell ref="B148:C148"/>
    <mergeCell ref="B147:C147"/>
    <mergeCell ref="B138:C138"/>
    <mergeCell ref="B141:C141"/>
    <mergeCell ref="B77:C77"/>
    <mergeCell ref="B90:C90"/>
    <mergeCell ref="B96:C96"/>
    <mergeCell ref="B88:C88"/>
    <mergeCell ref="B89:C89"/>
    <mergeCell ref="B83:C83"/>
    <mergeCell ref="B157:C157"/>
    <mergeCell ref="B156:C156"/>
    <mergeCell ref="B155:C155"/>
    <mergeCell ref="B172:C172"/>
    <mergeCell ref="B175:C175"/>
    <mergeCell ref="B176:C176"/>
    <mergeCell ref="B174:C174"/>
    <mergeCell ref="B170:C170"/>
    <mergeCell ref="B164:C164"/>
    <mergeCell ref="B165:C165"/>
    <mergeCell ref="B169:C169"/>
    <mergeCell ref="B171:C171"/>
    <mergeCell ref="B185:C185"/>
    <mergeCell ref="B194:C194"/>
    <mergeCell ref="B189:C189"/>
    <mergeCell ref="B178:C178"/>
    <mergeCell ref="B179:C179"/>
    <mergeCell ref="B180:C180"/>
    <mergeCell ref="B196:C196"/>
    <mergeCell ref="B197:C197"/>
    <mergeCell ref="B198:C198"/>
    <mergeCell ref="B199:C199"/>
    <mergeCell ref="B195:C195"/>
    <mergeCell ref="B173:C173"/>
    <mergeCell ref="B186:C186"/>
    <mergeCell ref="B187:C187"/>
    <mergeCell ref="B188:C188"/>
    <mergeCell ref="B177:C177"/>
    <mergeCell ref="B200:C200"/>
    <mergeCell ref="B201:C201"/>
    <mergeCell ref="B202:C202"/>
    <mergeCell ref="E214:G214"/>
    <mergeCell ref="B203:C203"/>
    <mergeCell ref="B204:C204"/>
    <mergeCell ref="B205:C205"/>
    <mergeCell ref="E209:G210"/>
    <mergeCell ref="E215:G215"/>
    <mergeCell ref="B209:C210"/>
    <mergeCell ref="B211:C211"/>
    <mergeCell ref="B212:C212"/>
    <mergeCell ref="B213:C213"/>
    <mergeCell ref="B214:C214"/>
    <mergeCell ref="B215:C215"/>
    <mergeCell ref="E211:G211"/>
    <mergeCell ref="E212:G212"/>
    <mergeCell ref="E213:G213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B66:C66"/>
    <mergeCell ref="B61:C61"/>
    <mergeCell ref="D47:D48"/>
    <mergeCell ref="F20:G20"/>
    <mergeCell ref="F22:G22"/>
    <mergeCell ref="F24:G24"/>
    <mergeCell ref="B28:G28"/>
    <mergeCell ref="C26:G26"/>
    <mergeCell ref="E47:E48"/>
    <mergeCell ref="B33:C34"/>
    <mergeCell ref="B117:C117"/>
    <mergeCell ref="B129:C129"/>
    <mergeCell ref="B181:C181"/>
    <mergeCell ref="A7:G7"/>
    <mergeCell ref="A8:G8"/>
    <mergeCell ref="A9:G9"/>
    <mergeCell ref="B27:G27"/>
    <mergeCell ref="D24:E24"/>
    <mergeCell ref="F16:G16"/>
    <mergeCell ref="F18:G18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93">
      <selection activeCell="D223" sqref="D223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366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375</v>
      </c>
      <c r="D18" s="596" t="s">
        <v>17</v>
      </c>
      <c r="E18" s="597"/>
      <c r="F18" s="596" t="s">
        <v>290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70">
        <v>24</v>
      </c>
      <c r="D20" s="596" t="s">
        <v>21</v>
      </c>
      <c r="E20" s="597"/>
      <c r="F20" s="596" t="s">
        <v>319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367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255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368</v>
      </c>
      <c r="D26" s="592"/>
      <c r="E26" s="592"/>
      <c r="F26" s="592"/>
      <c r="G26" s="593"/>
    </row>
    <row r="27" spans="1:7" ht="15" thickBot="1">
      <c r="A27" s="75"/>
      <c r="B27" s="591" t="s">
        <v>369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278</v>
      </c>
      <c r="C36" s="613"/>
      <c r="D36" s="84" t="s">
        <v>43</v>
      </c>
      <c r="E36" s="85">
        <v>3</v>
      </c>
      <c r="F36" s="86">
        <f>F50/36</f>
        <v>0.845771144278607</v>
      </c>
      <c r="G36" s="85">
        <f aca="true" t="shared" si="0" ref="G36:G43">E36*F36</f>
        <v>2.537313432835821</v>
      </c>
    </row>
    <row r="37" spans="1:7" ht="15" customHeight="1">
      <c r="A37" s="84" t="s">
        <v>45</v>
      </c>
      <c r="B37" s="613" t="s">
        <v>279</v>
      </c>
      <c r="C37" s="613"/>
      <c r="D37" s="84" t="s">
        <v>43</v>
      </c>
      <c r="E37" s="84">
        <v>3</v>
      </c>
      <c r="F37" s="86">
        <f>F50/36</f>
        <v>0.845771144278607</v>
      </c>
      <c r="G37" s="85">
        <f t="shared" si="0"/>
        <v>2.537313432835821</v>
      </c>
    </row>
    <row r="38" spans="1:7" ht="15" customHeight="1">
      <c r="A38" s="84" t="s">
        <v>14</v>
      </c>
      <c r="B38" s="613" t="s">
        <v>280</v>
      </c>
      <c r="C38" s="613"/>
      <c r="D38" s="84" t="s">
        <v>43</v>
      </c>
      <c r="E38" s="84">
        <v>4</v>
      </c>
      <c r="F38" s="86">
        <f>F50/36</f>
        <v>0.845771144278607</v>
      </c>
      <c r="G38" s="85">
        <f t="shared" si="0"/>
        <v>3.383084577114428</v>
      </c>
    </row>
    <row r="39" spans="1:7" ht="15" customHeight="1">
      <c r="A39" s="84" t="s">
        <v>49</v>
      </c>
      <c r="B39" s="613" t="s">
        <v>281</v>
      </c>
      <c r="C39" s="613"/>
      <c r="D39" s="84" t="s">
        <v>43</v>
      </c>
      <c r="E39" s="84">
        <v>4</v>
      </c>
      <c r="F39" s="86">
        <f>F50/36</f>
        <v>0.845771144278607</v>
      </c>
      <c r="G39" s="85">
        <f t="shared" si="0"/>
        <v>3.383084577114428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53</v>
      </c>
      <c r="C41" s="608"/>
      <c r="D41" s="87"/>
      <c r="E41" s="90"/>
      <c r="F41" s="89"/>
      <c r="G41" s="84">
        <f t="shared" si="0"/>
        <v>0</v>
      </c>
    </row>
    <row r="42" spans="1:7" ht="15.75" customHeight="1">
      <c r="A42" s="627"/>
      <c r="B42" s="607" t="s">
        <v>53</v>
      </c>
      <c r="C42" s="608"/>
      <c r="D42" s="87"/>
      <c r="E42" s="90"/>
      <c r="F42" s="89"/>
      <c r="G42" s="84">
        <f t="shared" si="0"/>
        <v>0</v>
      </c>
    </row>
    <row r="43" spans="1:7" ht="14.25">
      <c r="A43" s="627"/>
      <c r="B43" s="609" t="s">
        <v>53</v>
      </c>
      <c r="C43" s="610"/>
      <c r="D43" s="87"/>
      <c r="E43" s="91"/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11.840796019900498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2</v>
      </c>
      <c r="F49" s="86">
        <f>6600*12/2010</f>
        <v>39.40298507462686</v>
      </c>
      <c r="G49" s="85">
        <f>E49*F49</f>
        <v>78.80597014925372</v>
      </c>
    </row>
    <row r="50" spans="1:7" ht="15" customHeight="1">
      <c r="A50" s="84">
        <v>2</v>
      </c>
      <c r="B50" s="93" t="s">
        <v>63</v>
      </c>
      <c r="C50" s="93" t="s">
        <v>284</v>
      </c>
      <c r="D50" s="84" t="s">
        <v>43</v>
      </c>
      <c r="E50" s="84">
        <v>6</v>
      </c>
      <c r="F50" s="86">
        <f>5100*12/2010</f>
        <v>30.44776119402985</v>
      </c>
      <c r="G50" s="85">
        <f>E50*F50</f>
        <v>182.6865671641791</v>
      </c>
    </row>
    <row r="51" spans="1:9" ht="15" customHeight="1">
      <c r="A51" s="84">
        <v>3</v>
      </c>
      <c r="B51" s="93" t="s">
        <v>67</v>
      </c>
      <c r="C51" s="93" t="s">
        <v>513</v>
      </c>
      <c r="D51" s="84" t="s">
        <v>43</v>
      </c>
      <c r="E51" s="94" t="s">
        <v>353</v>
      </c>
      <c r="F51" s="86">
        <f>(5100+4200)*12/4020</f>
        <v>27.761194029850746</v>
      </c>
      <c r="G51" s="85">
        <f>E51*F51</f>
        <v>55.52238805970149</v>
      </c>
      <c r="I51" s="234"/>
    </row>
    <row r="52" spans="1:9" ht="15" customHeight="1">
      <c r="A52" s="84">
        <v>4</v>
      </c>
      <c r="B52" s="93" t="s">
        <v>70</v>
      </c>
      <c r="C52" s="93" t="s">
        <v>286</v>
      </c>
      <c r="D52" s="84" t="s">
        <v>43</v>
      </c>
      <c r="E52" s="84">
        <v>6</v>
      </c>
      <c r="F52" s="86">
        <f>5120*12/2010</f>
        <v>30.567164179104477</v>
      </c>
      <c r="G52" s="85">
        <f aca="true" t="shared" si="1" ref="G52:G57">E52*F52</f>
        <v>183.40298507462686</v>
      </c>
      <c r="I52" s="234"/>
    </row>
    <row r="53" spans="1:9" ht="15" customHeight="1">
      <c r="A53" s="84">
        <v>5</v>
      </c>
      <c r="B53" s="93" t="s">
        <v>73</v>
      </c>
      <c r="C53" s="93" t="s">
        <v>287</v>
      </c>
      <c r="D53" s="84" t="s">
        <v>43</v>
      </c>
      <c r="E53" s="84">
        <v>2</v>
      </c>
      <c r="F53" s="86">
        <f>4220*12/2010</f>
        <v>25.19402985074627</v>
      </c>
      <c r="G53" s="85">
        <f t="shared" si="1"/>
        <v>50.38805970149254</v>
      </c>
      <c r="I53" s="119"/>
    </row>
    <row r="54" spans="1:7" ht="15" customHeight="1">
      <c r="A54" s="84">
        <v>6</v>
      </c>
      <c r="B54" s="93" t="s">
        <v>80</v>
      </c>
      <c r="C54" s="93" t="s">
        <v>262</v>
      </c>
      <c r="D54" s="84" t="s">
        <v>43</v>
      </c>
      <c r="E54" s="84">
        <v>1</v>
      </c>
      <c r="F54" s="86">
        <f>3160*12/2010</f>
        <v>18.865671641791046</v>
      </c>
      <c r="G54" s="85">
        <f t="shared" si="1"/>
        <v>18.865671641791046</v>
      </c>
    </row>
    <row r="55" spans="1:9" ht="15" customHeight="1">
      <c r="A55" s="84">
        <v>7</v>
      </c>
      <c r="B55" s="93" t="s">
        <v>263</v>
      </c>
      <c r="C55" s="93" t="s">
        <v>395</v>
      </c>
      <c r="D55" s="84" t="s">
        <v>43</v>
      </c>
      <c r="E55" s="84">
        <v>4</v>
      </c>
      <c r="F55" s="86">
        <f>3124*12/2010</f>
        <v>18.650746268656718</v>
      </c>
      <c r="G55" s="85">
        <f t="shared" si="1"/>
        <v>74.60298507462687</v>
      </c>
      <c r="I55" s="234" t="s">
        <v>272</v>
      </c>
    </row>
    <row r="56" spans="1:7" ht="15" customHeight="1">
      <c r="A56" s="84">
        <v>8</v>
      </c>
      <c r="B56" s="93" t="s">
        <v>77</v>
      </c>
      <c r="C56" s="93" t="s">
        <v>284</v>
      </c>
      <c r="D56" s="84" t="s">
        <v>43</v>
      </c>
      <c r="E56" s="94" t="s">
        <v>240</v>
      </c>
      <c r="F56" s="86">
        <f>5100*12/2010</f>
        <v>30.44776119402985</v>
      </c>
      <c r="G56" s="85">
        <f t="shared" si="1"/>
        <v>243.5820895522388</v>
      </c>
    </row>
    <row r="57" spans="1:9" ht="15" customHeight="1">
      <c r="A57" s="84">
        <v>9</v>
      </c>
      <c r="B57" s="93" t="s">
        <v>265</v>
      </c>
      <c r="C57" s="93" t="s">
        <v>514</v>
      </c>
      <c r="D57" s="84" t="s">
        <v>43</v>
      </c>
      <c r="E57" s="94" t="s">
        <v>353</v>
      </c>
      <c r="F57" s="86">
        <f>(4620+3900)*12/4020</f>
        <v>25.432835820895523</v>
      </c>
      <c r="G57" s="85">
        <f t="shared" si="1"/>
        <v>50.865671641791046</v>
      </c>
      <c r="I57" s="63"/>
    </row>
    <row r="58" spans="1:7" ht="15" customHeight="1">
      <c r="A58" s="84"/>
      <c r="B58" s="93" t="s">
        <v>82</v>
      </c>
      <c r="C58" s="93"/>
      <c r="D58" s="84"/>
      <c r="E58" s="84"/>
      <c r="F58" s="84"/>
      <c r="G58" s="85">
        <f>SUM(G49:G57)</f>
        <v>938.7223880597016</v>
      </c>
    </row>
    <row r="59" ht="15" customHeight="1">
      <c r="A59" s="95"/>
    </row>
    <row r="60" ht="15" thickBot="1">
      <c r="A60" s="76" t="s">
        <v>83</v>
      </c>
    </row>
    <row r="61" spans="1:7" ht="28.5" customHeight="1">
      <c r="A61" s="96" t="s">
        <v>37</v>
      </c>
      <c r="B61" s="598" t="s">
        <v>38</v>
      </c>
      <c r="C61" s="599"/>
      <c r="D61" s="78" t="s">
        <v>39</v>
      </c>
      <c r="E61" s="78" t="s">
        <v>207</v>
      </c>
      <c r="F61" s="78" t="s">
        <v>58</v>
      </c>
      <c r="G61" s="78" t="s">
        <v>59</v>
      </c>
    </row>
    <row r="62" spans="1:7" ht="15" customHeight="1">
      <c r="A62" s="84" t="s">
        <v>9</v>
      </c>
      <c r="B62" s="613" t="s">
        <v>84</v>
      </c>
      <c r="C62" s="613"/>
      <c r="D62" s="84" t="s">
        <v>85</v>
      </c>
      <c r="E62" s="97"/>
      <c r="F62" s="97"/>
      <c r="G62" s="85">
        <f>(G44+G58)*0.23</f>
        <v>218.6295323383085</v>
      </c>
    </row>
    <row r="63" spans="1:7" ht="15" customHeight="1">
      <c r="A63" s="84" t="s">
        <v>45</v>
      </c>
      <c r="B63" s="613" t="s">
        <v>86</v>
      </c>
      <c r="C63" s="613"/>
      <c r="D63" s="84" t="s">
        <v>85</v>
      </c>
      <c r="E63" s="97"/>
      <c r="F63" s="97"/>
      <c r="G63" s="85">
        <f>(G44+G58)*0.035</f>
        <v>33.269711442786075</v>
      </c>
    </row>
    <row r="64" ht="18" customHeight="1">
      <c r="A64" s="95"/>
    </row>
    <row r="65" ht="15" thickBot="1">
      <c r="A65" s="76" t="s">
        <v>87</v>
      </c>
    </row>
    <row r="66" spans="1:7" ht="27" customHeight="1" thickBot="1">
      <c r="A66" s="78" t="s">
        <v>37</v>
      </c>
      <c r="B66" s="598" t="s">
        <v>38</v>
      </c>
      <c r="C66" s="599"/>
      <c r="D66" s="77" t="s">
        <v>39</v>
      </c>
      <c r="E66" s="96" t="s">
        <v>207</v>
      </c>
      <c r="F66" s="78" t="s">
        <v>58</v>
      </c>
      <c r="G66" s="78" t="s">
        <v>59</v>
      </c>
    </row>
    <row r="67" spans="1:7" ht="15" customHeight="1">
      <c r="A67" s="625"/>
      <c r="B67" s="625"/>
      <c r="C67" s="625"/>
      <c r="D67" s="98"/>
      <c r="E67" s="98"/>
      <c r="F67" s="99"/>
      <c r="G67" s="99"/>
    </row>
    <row r="68" spans="1:7" ht="14.25">
      <c r="A68" s="620" t="s">
        <v>88</v>
      </c>
      <c r="B68" s="620"/>
      <c r="C68" s="620"/>
      <c r="D68" s="87"/>
      <c r="E68" s="87"/>
      <c r="F68" s="89"/>
      <c r="G68" s="89"/>
    </row>
    <row r="69" spans="1:7" ht="15" customHeight="1">
      <c r="A69" s="100" t="s">
        <v>9</v>
      </c>
      <c r="B69" s="613" t="s">
        <v>313</v>
      </c>
      <c r="C69" s="613"/>
      <c r="D69" s="84"/>
      <c r="E69" s="84"/>
      <c r="F69" s="84"/>
      <c r="G69" s="84"/>
    </row>
    <row r="70" spans="1:7" ht="15" customHeight="1">
      <c r="A70" s="100" t="s">
        <v>45</v>
      </c>
      <c r="B70" s="613" t="s">
        <v>90</v>
      </c>
      <c r="C70" s="613"/>
      <c r="D70" s="84" t="s">
        <v>91</v>
      </c>
      <c r="E70" s="84"/>
      <c r="F70" s="84"/>
      <c r="G70" s="85">
        <f>E70*F70</f>
        <v>0</v>
      </c>
    </row>
    <row r="71" spans="1:7" ht="15" customHeight="1">
      <c r="A71" s="100" t="s">
        <v>14</v>
      </c>
      <c r="B71" s="613" t="s">
        <v>92</v>
      </c>
      <c r="C71" s="613"/>
      <c r="D71" s="84" t="s">
        <v>91</v>
      </c>
      <c r="E71" s="84"/>
      <c r="F71" s="84"/>
      <c r="G71" s="85"/>
    </row>
    <row r="72" spans="1:7" ht="15" customHeight="1">
      <c r="A72" s="100" t="s">
        <v>49</v>
      </c>
      <c r="B72" s="613" t="s">
        <v>93</v>
      </c>
      <c r="C72" s="613"/>
      <c r="D72" s="84" t="s">
        <v>91</v>
      </c>
      <c r="E72" s="84"/>
      <c r="F72" s="84"/>
      <c r="G72" s="85">
        <f>E72*F72</f>
        <v>0</v>
      </c>
    </row>
    <row r="73" spans="1:7" ht="15" customHeight="1">
      <c r="A73" s="100" t="s">
        <v>19</v>
      </c>
      <c r="B73" s="613" t="s">
        <v>94</v>
      </c>
      <c r="C73" s="613"/>
      <c r="D73" s="84"/>
      <c r="E73" s="84"/>
      <c r="F73" s="84"/>
      <c r="G73" s="84"/>
    </row>
    <row r="74" spans="1:7" ht="15" customHeight="1">
      <c r="A74" s="100"/>
      <c r="B74" s="619" t="s">
        <v>95</v>
      </c>
      <c r="C74" s="619"/>
      <c r="D74" s="101" t="s">
        <v>96</v>
      </c>
      <c r="E74" s="101"/>
      <c r="F74" s="101"/>
      <c r="G74" s="101"/>
    </row>
    <row r="75" spans="1:7" ht="15" customHeight="1">
      <c r="A75" s="100"/>
      <c r="B75" s="619" t="s">
        <v>97</v>
      </c>
      <c r="C75" s="619"/>
      <c r="D75" s="101" t="s">
        <v>91</v>
      </c>
      <c r="E75" s="101"/>
      <c r="F75" s="101"/>
      <c r="G75" s="101"/>
    </row>
    <row r="76" spans="1:7" ht="15" customHeight="1">
      <c r="A76" s="100"/>
      <c r="B76" s="619" t="s">
        <v>98</v>
      </c>
      <c r="C76" s="619"/>
      <c r="D76" s="101" t="s">
        <v>85</v>
      </c>
      <c r="E76" s="101"/>
      <c r="F76" s="101"/>
      <c r="G76" s="42">
        <f>E74*E75*F76</f>
        <v>0</v>
      </c>
    </row>
    <row r="77" spans="1:7" ht="15" customHeight="1">
      <c r="A77" s="100" t="s">
        <v>54</v>
      </c>
      <c r="B77" s="613" t="s">
        <v>99</v>
      </c>
      <c r="C77" s="613"/>
      <c r="D77" s="101"/>
      <c r="E77" s="101"/>
      <c r="F77" s="101"/>
      <c r="G77" s="101"/>
    </row>
    <row r="78" spans="1:7" ht="15" customHeight="1">
      <c r="A78" s="100"/>
      <c r="B78" s="619" t="s">
        <v>97</v>
      </c>
      <c r="C78" s="619"/>
      <c r="D78" s="101" t="s">
        <v>91</v>
      </c>
      <c r="E78" s="101"/>
      <c r="F78" s="101"/>
      <c r="G78" s="101"/>
    </row>
    <row r="79" spans="1:7" ht="15" customHeight="1">
      <c r="A79" s="100"/>
      <c r="B79" s="619" t="s">
        <v>100</v>
      </c>
      <c r="C79" s="619"/>
      <c r="D79" s="101" t="s">
        <v>101</v>
      </c>
      <c r="E79" s="43"/>
      <c r="F79" s="41"/>
      <c r="G79" s="42">
        <f>E78*E79*F79</f>
        <v>0</v>
      </c>
    </row>
    <row r="80" spans="1:7" ht="15" customHeight="1">
      <c r="A80" s="100"/>
      <c r="B80" s="619" t="s">
        <v>102</v>
      </c>
      <c r="C80" s="619"/>
      <c r="D80" s="101" t="s">
        <v>91</v>
      </c>
      <c r="E80" s="41"/>
      <c r="F80" s="44"/>
      <c r="G80" s="42">
        <f>E78*F80</f>
        <v>0</v>
      </c>
    </row>
    <row r="81" spans="1:7" ht="14.25" customHeight="1">
      <c r="A81" s="620"/>
      <c r="B81" s="620"/>
      <c r="C81" s="620"/>
      <c r="D81" s="102"/>
      <c r="E81" s="102"/>
      <c r="F81" s="102"/>
      <c r="G81" s="102"/>
    </row>
    <row r="82" spans="1:7" ht="14.25">
      <c r="A82" s="620" t="s">
        <v>103</v>
      </c>
      <c r="B82" s="620"/>
      <c r="C82" s="620"/>
      <c r="D82" s="102"/>
      <c r="E82" s="102"/>
      <c r="F82" s="102"/>
      <c r="G82" s="102"/>
    </row>
    <row r="83" spans="1:7" ht="15" customHeight="1">
      <c r="A83" s="100"/>
      <c r="B83" s="619" t="s">
        <v>97</v>
      </c>
      <c r="C83" s="619"/>
      <c r="D83" s="101" t="s">
        <v>91</v>
      </c>
      <c r="E83" s="101">
        <v>4</v>
      </c>
      <c r="F83" s="101"/>
      <c r="G83" s="101"/>
    </row>
    <row r="84" spans="1:7" ht="15" customHeight="1">
      <c r="A84" s="100"/>
      <c r="B84" s="619" t="s">
        <v>104</v>
      </c>
      <c r="C84" s="619"/>
      <c r="D84" s="101" t="s">
        <v>101</v>
      </c>
      <c r="E84" s="101">
        <v>1.35</v>
      </c>
      <c r="F84" s="101">
        <v>1.68</v>
      </c>
      <c r="G84" s="103">
        <f>E83*E84*F84</f>
        <v>9.072000000000001</v>
      </c>
    </row>
    <row r="85" spans="1:7" ht="14.25" customHeight="1">
      <c r="A85" s="100"/>
      <c r="B85" s="619" t="s">
        <v>105</v>
      </c>
      <c r="C85" s="619"/>
      <c r="D85" s="101" t="s">
        <v>85</v>
      </c>
      <c r="E85" s="101"/>
      <c r="F85" s="101">
        <v>11.8</v>
      </c>
      <c r="G85" s="103">
        <f>E83*F85</f>
        <v>47.2</v>
      </c>
    </row>
    <row r="86" spans="1:7" ht="15" customHeight="1">
      <c r="A86" s="620"/>
      <c r="B86" s="620"/>
      <c r="C86" s="620"/>
      <c r="D86" s="102"/>
      <c r="E86" s="102"/>
      <c r="F86" s="102"/>
      <c r="G86" s="102"/>
    </row>
    <row r="87" spans="1:7" ht="14.25">
      <c r="A87" s="620" t="s">
        <v>106</v>
      </c>
      <c r="B87" s="620"/>
      <c r="C87" s="620"/>
      <c r="D87" s="102"/>
      <c r="E87" s="102"/>
      <c r="F87" s="102"/>
      <c r="G87" s="102"/>
    </row>
    <row r="88" spans="1:7" ht="15" customHeight="1">
      <c r="A88" s="100"/>
      <c r="B88" s="619" t="s">
        <v>97</v>
      </c>
      <c r="C88" s="619"/>
      <c r="D88" s="101" t="s">
        <v>91</v>
      </c>
      <c r="E88" s="101">
        <v>2</v>
      </c>
      <c r="F88" s="101"/>
      <c r="G88" s="101"/>
    </row>
    <row r="89" spans="1:7" ht="15" customHeight="1">
      <c r="A89" s="100"/>
      <c r="B89" s="619" t="s">
        <v>104</v>
      </c>
      <c r="C89" s="619"/>
      <c r="D89" s="101" t="s">
        <v>101</v>
      </c>
      <c r="E89" s="101">
        <v>0.5</v>
      </c>
      <c r="F89" s="101">
        <v>1.68</v>
      </c>
      <c r="G89" s="103">
        <f>E88*E89*F89</f>
        <v>1.68</v>
      </c>
    </row>
    <row r="90" spans="1:7" ht="14.25" customHeight="1">
      <c r="A90" s="100"/>
      <c r="B90" s="619" t="s">
        <v>107</v>
      </c>
      <c r="C90" s="619"/>
      <c r="D90" s="101" t="s">
        <v>85</v>
      </c>
      <c r="E90" s="101"/>
      <c r="F90" s="101">
        <v>0.6</v>
      </c>
      <c r="G90" s="101">
        <f>E88*F90</f>
        <v>1.2</v>
      </c>
    </row>
    <row r="92" spans="1:7" ht="15.75">
      <c r="A92" s="620" t="s">
        <v>208</v>
      </c>
      <c r="B92" s="620"/>
      <c r="C92" s="620"/>
      <c r="D92" s="87"/>
      <c r="E92" s="87"/>
      <c r="F92" s="89"/>
      <c r="G92" s="89"/>
    </row>
    <row r="93" spans="1:7" ht="18.75" customHeight="1">
      <c r="A93" s="93"/>
      <c r="B93" s="621"/>
      <c r="C93" s="621"/>
      <c r="D93" s="84"/>
      <c r="E93" s="84"/>
      <c r="F93" s="84"/>
      <c r="G93" s="84"/>
    </row>
    <row r="94" spans="1:7" ht="14.25">
      <c r="A94" s="93"/>
      <c r="B94" s="621"/>
      <c r="C94" s="621"/>
      <c r="D94" s="84"/>
      <c r="E94" s="84"/>
      <c r="F94" s="84"/>
      <c r="G94" s="84"/>
    </row>
    <row r="95" spans="1:7" ht="14.25">
      <c r="A95" s="93"/>
      <c r="B95" s="587"/>
      <c r="C95" s="588"/>
      <c r="D95" s="84"/>
      <c r="E95" s="94"/>
      <c r="F95" s="84"/>
      <c r="G95" s="85">
        <f>SUM(G93:G94)</f>
        <v>0</v>
      </c>
    </row>
    <row r="96" spans="1:7" ht="14.25" customHeight="1">
      <c r="A96" s="84"/>
      <c r="B96" s="587" t="s">
        <v>108</v>
      </c>
      <c r="C96" s="588"/>
      <c r="D96" s="84"/>
      <c r="E96" s="94"/>
      <c r="F96" s="84"/>
      <c r="G96" s="85">
        <f>SUM(G70:G95)</f>
        <v>59.15200000000001</v>
      </c>
    </row>
    <row r="97" spans="1:7" ht="12.75">
      <c r="A97" s="104"/>
      <c r="B97" s="104"/>
      <c r="C97" s="104"/>
      <c r="D97" s="104"/>
      <c r="E97" s="104"/>
      <c r="F97" s="104"/>
      <c r="G97" s="104"/>
    </row>
    <row r="98" ht="15" thickBot="1">
      <c r="A98" s="76" t="s">
        <v>110</v>
      </c>
    </row>
    <row r="99" spans="1:7" ht="26.25" customHeight="1">
      <c r="A99" s="96" t="s">
        <v>37</v>
      </c>
      <c r="B99" s="105" t="s">
        <v>38</v>
      </c>
      <c r="C99" s="106"/>
      <c r="D99" s="77" t="s">
        <v>39</v>
      </c>
      <c r="E99" s="78" t="s">
        <v>207</v>
      </c>
      <c r="F99" s="78" t="s">
        <v>58</v>
      </c>
      <c r="G99" s="78" t="s">
        <v>59</v>
      </c>
    </row>
    <row r="100" spans="1:7" ht="15" customHeight="1">
      <c r="A100" s="84" t="s">
        <v>9</v>
      </c>
      <c r="B100" s="613" t="s">
        <v>111</v>
      </c>
      <c r="C100" s="613"/>
      <c r="D100" s="101" t="s">
        <v>91</v>
      </c>
      <c r="E100" s="101"/>
      <c r="F100" s="101"/>
      <c r="G100" s="84">
        <f>E100*F100</f>
        <v>0</v>
      </c>
    </row>
    <row r="101" spans="1:7" ht="15" customHeight="1">
      <c r="A101" s="84" t="s">
        <v>45</v>
      </c>
      <c r="B101" s="613" t="s">
        <v>112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14</v>
      </c>
      <c r="B102" s="613" t="s">
        <v>113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49</v>
      </c>
      <c r="B103" s="613" t="s">
        <v>94</v>
      </c>
      <c r="C103" s="613"/>
      <c r="D103" s="101"/>
      <c r="E103" s="101"/>
      <c r="F103" s="101"/>
      <c r="G103" s="101"/>
    </row>
    <row r="104" spans="1:7" ht="15" customHeight="1">
      <c r="A104" s="84"/>
      <c r="B104" s="619" t="s">
        <v>95</v>
      </c>
      <c r="C104" s="619"/>
      <c r="D104" s="101" t="s">
        <v>96</v>
      </c>
      <c r="E104" s="101">
        <v>1</v>
      </c>
      <c r="F104" s="101"/>
      <c r="G104" s="101"/>
    </row>
    <row r="105" spans="1:7" ht="15" customHeight="1">
      <c r="A105" s="84"/>
      <c r="B105" s="619" t="s">
        <v>97</v>
      </c>
      <c r="C105" s="619"/>
      <c r="D105" s="101" t="s">
        <v>91</v>
      </c>
      <c r="E105" s="101">
        <v>4</v>
      </c>
      <c r="F105" s="101"/>
      <c r="G105" s="101"/>
    </row>
    <row r="106" spans="1:7" ht="15" customHeight="1">
      <c r="A106" s="84"/>
      <c r="B106" s="619" t="s">
        <v>114</v>
      </c>
      <c r="C106" s="619"/>
      <c r="D106" s="101" t="s">
        <v>85</v>
      </c>
      <c r="E106" s="101"/>
      <c r="F106" s="101">
        <v>16.04</v>
      </c>
      <c r="G106" s="103">
        <f>E104*E105*F106</f>
        <v>64.16</v>
      </c>
    </row>
    <row r="107" spans="1:7" ht="15" customHeight="1">
      <c r="A107" s="84" t="s">
        <v>19</v>
      </c>
      <c r="B107" s="630" t="s">
        <v>115</v>
      </c>
      <c r="C107" s="630"/>
      <c r="D107" s="101"/>
      <c r="E107" s="101"/>
      <c r="F107" s="101"/>
      <c r="G107" s="101"/>
    </row>
    <row r="108" spans="1:7" ht="15" customHeight="1">
      <c r="A108" s="84"/>
      <c r="B108" s="619" t="s">
        <v>116</v>
      </c>
      <c r="C108" s="619"/>
      <c r="D108" s="101" t="s">
        <v>117</v>
      </c>
      <c r="E108" s="101">
        <v>1</v>
      </c>
      <c r="F108" s="101"/>
      <c r="G108" s="101"/>
    </row>
    <row r="109" spans="1:7" ht="15" customHeight="1">
      <c r="A109" s="84"/>
      <c r="B109" s="619" t="s">
        <v>118</v>
      </c>
      <c r="C109" s="619"/>
      <c r="D109" s="101" t="s">
        <v>85</v>
      </c>
      <c r="E109" s="101">
        <v>10</v>
      </c>
      <c r="F109" s="107">
        <f>(14249.86+97346.65)/73/12/193*0.08</f>
        <v>0.052805503111174205</v>
      </c>
      <c r="G109" s="103">
        <f>E108*E109*F109</f>
        <v>0.528055031111742</v>
      </c>
    </row>
    <row r="110" spans="1:7" ht="15" customHeight="1">
      <c r="A110" s="84" t="s">
        <v>54</v>
      </c>
      <c r="B110" s="630" t="s">
        <v>119</v>
      </c>
      <c r="C110" s="630"/>
      <c r="D110" s="101"/>
      <c r="E110" s="101"/>
      <c r="F110" s="101"/>
      <c r="G110" s="101"/>
    </row>
    <row r="111" spans="1:7" ht="15" customHeight="1">
      <c r="A111" s="84"/>
      <c r="B111" s="619" t="s">
        <v>120</v>
      </c>
      <c r="C111" s="619"/>
      <c r="D111" s="101" t="s">
        <v>117</v>
      </c>
      <c r="E111" s="101"/>
      <c r="F111" s="101"/>
      <c r="G111" s="101"/>
    </row>
    <row r="112" spans="1:7" ht="15" customHeight="1">
      <c r="A112" s="84"/>
      <c r="B112" s="619" t="s">
        <v>121</v>
      </c>
      <c r="C112" s="619"/>
      <c r="D112" s="101" t="s">
        <v>85</v>
      </c>
      <c r="E112" s="101"/>
      <c r="F112" s="101"/>
      <c r="G112" s="101">
        <f>E111*E112*F112</f>
        <v>0</v>
      </c>
    </row>
    <row r="113" spans="1:7" ht="15" customHeight="1">
      <c r="A113" s="84" t="s">
        <v>22</v>
      </c>
      <c r="B113" s="630" t="s">
        <v>99</v>
      </c>
      <c r="C113" s="630"/>
      <c r="D113" s="101"/>
      <c r="E113" s="101"/>
      <c r="F113" s="101"/>
      <c r="G113" s="101"/>
    </row>
    <row r="114" spans="1:7" ht="15" customHeight="1">
      <c r="A114" s="84"/>
      <c r="B114" s="619" t="s">
        <v>97</v>
      </c>
      <c r="C114" s="619"/>
      <c r="D114" s="101" t="s">
        <v>91</v>
      </c>
      <c r="E114" s="101">
        <v>4</v>
      </c>
      <c r="F114" s="101"/>
      <c r="G114" s="101"/>
    </row>
    <row r="115" spans="1:7" ht="15" customHeight="1">
      <c r="A115" s="84"/>
      <c r="B115" s="619" t="s">
        <v>102</v>
      </c>
      <c r="C115" s="619"/>
      <c r="D115" s="101" t="s">
        <v>85</v>
      </c>
      <c r="E115" s="101"/>
      <c r="F115" s="101">
        <v>3.71</v>
      </c>
      <c r="G115" s="103">
        <f>E114*F115</f>
        <v>14.84</v>
      </c>
    </row>
    <row r="116" spans="1:7" ht="14.25" customHeight="1">
      <c r="A116" s="84" t="s">
        <v>72</v>
      </c>
      <c r="B116" s="613" t="s">
        <v>122</v>
      </c>
      <c r="C116" s="613"/>
      <c r="D116" s="101" t="s">
        <v>91</v>
      </c>
      <c r="E116" s="101"/>
      <c r="F116" s="101"/>
      <c r="G116" s="101">
        <f>E116*F116</f>
        <v>0</v>
      </c>
    </row>
    <row r="117" spans="1:7" ht="14.25" customHeight="1">
      <c r="A117" s="84"/>
      <c r="B117" s="587" t="s">
        <v>123</v>
      </c>
      <c r="C117" s="588"/>
      <c r="D117" s="84"/>
      <c r="E117" s="94"/>
      <c r="F117" s="84"/>
      <c r="G117" s="85">
        <f>SUM(G100:G116)</f>
        <v>79.52805503111175</v>
      </c>
    </row>
    <row r="118" ht="14.25">
      <c r="A118" s="67"/>
    </row>
    <row r="119" ht="14.25">
      <c r="A119" s="76" t="s">
        <v>124</v>
      </c>
    </row>
    <row r="120" ht="15" thickBot="1">
      <c r="A120" s="76"/>
    </row>
    <row r="121" spans="1:9" ht="29.25" customHeight="1">
      <c r="A121" s="96" t="s">
        <v>37</v>
      </c>
      <c r="B121" s="105" t="s">
        <v>38</v>
      </c>
      <c r="C121" s="106"/>
      <c r="D121" s="77" t="s">
        <v>39</v>
      </c>
      <c r="E121" s="108" t="s">
        <v>207</v>
      </c>
      <c r="F121" s="78" t="s">
        <v>58</v>
      </c>
      <c r="G121" s="78" t="s">
        <v>59</v>
      </c>
      <c r="H121" s="109"/>
      <c r="I121" s="110"/>
    </row>
    <row r="122" spans="1:9" ht="15" customHeight="1">
      <c r="A122" s="84" t="s">
        <v>9</v>
      </c>
      <c r="B122" s="613" t="s">
        <v>125</v>
      </c>
      <c r="C122" s="613"/>
      <c r="D122" s="101" t="s">
        <v>96</v>
      </c>
      <c r="E122" s="101">
        <v>1</v>
      </c>
      <c r="F122" s="101"/>
      <c r="G122" s="101"/>
      <c r="H122" s="89"/>
      <c r="I122" s="110"/>
    </row>
    <row r="123" spans="1:9" ht="15" customHeight="1">
      <c r="A123" s="84" t="s">
        <v>45</v>
      </c>
      <c r="B123" s="613" t="s">
        <v>126</v>
      </c>
      <c r="C123" s="613"/>
      <c r="D123" s="101" t="s">
        <v>127</v>
      </c>
      <c r="E123" s="101">
        <v>13</v>
      </c>
      <c r="F123" s="101"/>
      <c r="G123" s="101"/>
      <c r="H123" s="89"/>
      <c r="I123" s="110"/>
    </row>
    <row r="124" spans="1:9" ht="26.25" customHeight="1">
      <c r="A124" s="84" t="s">
        <v>14</v>
      </c>
      <c r="B124" s="613" t="s">
        <v>128</v>
      </c>
      <c r="C124" s="613"/>
      <c r="D124" s="101" t="s">
        <v>129</v>
      </c>
      <c r="E124" s="101"/>
      <c r="F124" s="107"/>
      <c r="G124" s="103">
        <f>E122*E124*F124</f>
        <v>0</v>
      </c>
      <c r="H124" s="89"/>
      <c r="I124" s="110"/>
    </row>
    <row r="125" spans="1:9" ht="14.25" customHeight="1">
      <c r="A125" s="84" t="s">
        <v>49</v>
      </c>
      <c r="B125" s="613" t="s">
        <v>130</v>
      </c>
      <c r="C125" s="613"/>
      <c r="D125" s="101" t="s">
        <v>131</v>
      </c>
      <c r="E125" s="101"/>
      <c r="F125" s="101"/>
      <c r="G125" s="101"/>
      <c r="H125" s="89"/>
      <c r="I125" s="110"/>
    </row>
    <row r="126" spans="1:9" ht="15" customHeight="1">
      <c r="A126" s="84"/>
      <c r="B126" s="613" t="s">
        <v>132</v>
      </c>
      <c r="C126" s="613"/>
      <c r="D126" s="101" t="s">
        <v>131</v>
      </c>
      <c r="E126" s="101"/>
      <c r="F126" s="101"/>
      <c r="G126" s="101">
        <f>E126*F126</f>
        <v>0</v>
      </c>
      <c r="H126" s="89"/>
      <c r="I126" s="110"/>
    </row>
    <row r="127" spans="1:9" ht="15">
      <c r="A127" s="84"/>
      <c r="B127" s="613" t="s">
        <v>133</v>
      </c>
      <c r="C127" s="613"/>
      <c r="D127" s="101" t="s">
        <v>131</v>
      </c>
      <c r="E127" s="341">
        <f>6.6/100*E123</f>
        <v>0.8580000000000001</v>
      </c>
      <c r="F127" s="111">
        <v>15.22</v>
      </c>
      <c r="G127" s="103">
        <f>E127*F127</f>
        <v>13.058760000000001</v>
      </c>
      <c r="H127" s="89"/>
      <c r="I127" s="110"/>
    </row>
    <row r="128" spans="1:9" ht="15">
      <c r="A128" s="84"/>
      <c r="B128" s="613" t="s">
        <v>134</v>
      </c>
      <c r="C128" s="613"/>
      <c r="D128" s="101" t="s">
        <v>131</v>
      </c>
      <c r="E128" s="101"/>
      <c r="F128" s="101"/>
      <c r="G128" s="101">
        <f>E128*F128</f>
        <v>0</v>
      </c>
      <c r="H128" s="89"/>
      <c r="I128" s="110"/>
    </row>
    <row r="129" spans="1:9" ht="15">
      <c r="A129" s="84"/>
      <c r="B129" s="587" t="s">
        <v>135</v>
      </c>
      <c r="C129" s="588"/>
      <c r="D129" s="84"/>
      <c r="E129" s="94"/>
      <c r="F129" s="84"/>
      <c r="G129" s="85">
        <f>SUM(G122:G128)</f>
        <v>13.058760000000001</v>
      </c>
      <c r="H129" s="89"/>
      <c r="I129" s="110"/>
    </row>
    <row r="130" spans="1:9" ht="12.75">
      <c r="A130" s="104"/>
      <c r="B130" s="104"/>
      <c r="C130" s="104"/>
      <c r="D130" s="104"/>
      <c r="E130" s="104"/>
      <c r="F130" s="104"/>
      <c r="G130" s="104"/>
      <c r="H130" s="104"/>
      <c r="I130" s="104"/>
    </row>
    <row r="131" ht="15" thickBot="1">
      <c r="A131" s="76" t="s">
        <v>136</v>
      </c>
    </row>
    <row r="132" spans="1:7" ht="28.5" customHeight="1">
      <c r="A132" s="96" t="s">
        <v>37</v>
      </c>
      <c r="B132" s="105" t="s">
        <v>38</v>
      </c>
      <c r="C132" s="106"/>
      <c r="D132" s="78" t="s">
        <v>39</v>
      </c>
      <c r="E132" s="78" t="s">
        <v>207</v>
      </c>
      <c r="F132" s="78" t="s">
        <v>58</v>
      </c>
      <c r="G132" s="78" t="s">
        <v>59</v>
      </c>
    </row>
    <row r="133" spans="1:7" ht="14.25" customHeight="1">
      <c r="A133" s="84" t="s">
        <v>9</v>
      </c>
      <c r="B133" s="613" t="s">
        <v>137</v>
      </c>
      <c r="C133" s="613"/>
      <c r="D133" s="84" t="s">
        <v>138</v>
      </c>
      <c r="E133" s="101"/>
      <c r="F133" s="101"/>
      <c r="G133" s="101"/>
    </row>
    <row r="134" spans="1:7" ht="14.25" customHeight="1">
      <c r="A134" s="84" t="s">
        <v>45</v>
      </c>
      <c r="B134" s="613" t="s">
        <v>139</v>
      </c>
      <c r="C134" s="613"/>
      <c r="D134" s="622"/>
      <c r="E134" s="622"/>
      <c r="F134" s="622"/>
      <c r="G134" s="622"/>
    </row>
    <row r="135" spans="1:7" ht="14.25" customHeight="1">
      <c r="A135" s="84" t="s">
        <v>14</v>
      </c>
      <c r="B135" s="613" t="s">
        <v>140</v>
      </c>
      <c r="C135" s="613"/>
      <c r="D135" s="622"/>
      <c r="E135" s="622"/>
      <c r="F135" s="622"/>
      <c r="G135" s="622"/>
    </row>
    <row r="136" spans="1:7" ht="15" customHeight="1">
      <c r="A136" s="84" t="s">
        <v>49</v>
      </c>
      <c r="B136" s="613" t="s">
        <v>141</v>
      </c>
      <c r="C136" s="613"/>
      <c r="D136" s="84" t="s">
        <v>138</v>
      </c>
      <c r="E136" s="101"/>
      <c r="F136" s="101"/>
      <c r="G136" s="101">
        <f>E136*F136*E133</f>
        <v>0</v>
      </c>
    </row>
    <row r="137" spans="1:7" ht="15" customHeight="1">
      <c r="A137" s="84" t="s">
        <v>19</v>
      </c>
      <c r="B137" s="613" t="s">
        <v>142</v>
      </c>
      <c r="C137" s="613"/>
      <c r="D137" s="84" t="s">
        <v>138</v>
      </c>
      <c r="E137" s="101"/>
      <c r="F137" s="101"/>
      <c r="G137" s="101">
        <f>E137*F137*E133</f>
        <v>0</v>
      </c>
    </row>
    <row r="138" spans="1:7" ht="15" customHeight="1">
      <c r="A138" s="84" t="s">
        <v>54</v>
      </c>
      <c r="B138" s="613" t="s">
        <v>143</v>
      </c>
      <c r="C138" s="613"/>
      <c r="D138" s="84" t="s">
        <v>85</v>
      </c>
      <c r="E138" s="101"/>
      <c r="F138" s="101"/>
      <c r="G138" s="101">
        <f>E133*F138</f>
        <v>0</v>
      </c>
    </row>
    <row r="139" spans="1:7" ht="15" customHeight="1">
      <c r="A139" s="84" t="s">
        <v>22</v>
      </c>
      <c r="B139" s="613" t="s">
        <v>144</v>
      </c>
      <c r="C139" s="613"/>
      <c r="D139" s="84" t="s">
        <v>85</v>
      </c>
      <c r="E139" s="101"/>
      <c r="F139" s="101"/>
      <c r="G139" s="101">
        <f>E133*F139</f>
        <v>0</v>
      </c>
    </row>
    <row r="140" spans="1:7" ht="15" customHeight="1">
      <c r="A140" s="84" t="s">
        <v>72</v>
      </c>
      <c r="B140" s="613" t="s">
        <v>145</v>
      </c>
      <c r="C140" s="613"/>
      <c r="D140" s="84" t="s">
        <v>85</v>
      </c>
      <c r="E140" s="101"/>
      <c r="F140" s="101"/>
      <c r="G140" s="101">
        <f>E133*F140</f>
        <v>0</v>
      </c>
    </row>
    <row r="141" spans="1:7" ht="15" customHeight="1">
      <c r="A141" s="84" t="s">
        <v>26</v>
      </c>
      <c r="B141" s="613" t="s">
        <v>146</v>
      </c>
      <c r="C141" s="613"/>
      <c r="D141" s="84" t="s">
        <v>85</v>
      </c>
      <c r="E141" s="101"/>
      <c r="F141" s="101"/>
      <c r="G141" s="101">
        <f>F141</f>
        <v>0</v>
      </c>
    </row>
    <row r="142" spans="1:7" ht="14.25">
      <c r="A142" s="84"/>
      <c r="B142" s="587" t="s">
        <v>147</v>
      </c>
      <c r="C142" s="588"/>
      <c r="D142" s="84"/>
      <c r="E142" s="94"/>
      <c r="F142" s="84"/>
      <c r="G142" s="85">
        <f>SUM(G136:G141)</f>
        <v>0</v>
      </c>
    </row>
    <row r="143" ht="14.25">
      <c r="A143" s="67"/>
    </row>
    <row r="144" ht="14.25">
      <c r="A144" s="67"/>
    </row>
    <row r="145" ht="14.25">
      <c r="A145" s="76" t="s">
        <v>148</v>
      </c>
    </row>
    <row r="146" ht="15" thickBot="1">
      <c r="A146" s="76"/>
    </row>
    <row r="147" spans="1:7" ht="28.5" customHeight="1">
      <c r="A147" s="96" t="s">
        <v>37</v>
      </c>
      <c r="B147" s="598" t="s">
        <v>38</v>
      </c>
      <c r="C147" s="599"/>
      <c r="D147" s="77" t="s">
        <v>39</v>
      </c>
      <c r="E147" s="78" t="s">
        <v>207</v>
      </c>
      <c r="F147" s="78" t="s">
        <v>58</v>
      </c>
      <c r="G147" s="78" t="s">
        <v>59</v>
      </c>
    </row>
    <row r="148" spans="1:7" ht="14.25" customHeight="1">
      <c r="A148" s="84" t="s">
        <v>9</v>
      </c>
      <c r="B148" s="613" t="s">
        <v>149</v>
      </c>
      <c r="C148" s="613"/>
      <c r="D148" s="84" t="s">
        <v>85</v>
      </c>
      <c r="E148" s="101"/>
      <c r="F148" s="101"/>
      <c r="G148" s="101"/>
    </row>
    <row r="149" spans="1:7" ht="14.25" customHeight="1">
      <c r="A149" s="84" t="s">
        <v>45</v>
      </c>
      <c r="B149" s="613" t="s">
        <v>150</v>
      </c>
      <c r="C149" s="613"/>
      <c r="D149" s="84" t="s">
        <v>85</v>
      </c>
      <c r="E149" s="101"/>
      <c r="F149" s="101"/>
      <c r="G149" s="101"/>
    </row>
    <row r="150" spans="1:7" ht="15" customHeight="1">
      <c r="A150" s="84" t="s">
        <v>14</v>
      </c>
      <c r="B150" s="613" t="s">
        <v>314</v>
      </c>
      <c r="C150" s="613"/>
      <c r="D150" s="84" t="s">
        <v>96</v>
      </c>
      <c r="E150" s="107">
        <f>6/36</f>
        <v>0.16666666666666666</v>
      </c>
      <c r="F150" s="101">
        <v>271.78</v>
      </c>
      <c r="G150" s="103">
        <f>E150*F150</f>
        <v>45.29666666666666</v>
      </c>
    </row>
    <row r="151" spans="1:7" ht="14.25">
      <c r="A151" s="84" t="s">
        <v>49</v>
      </c>
      <c r="B151" s="613" t="s">
        <v>152</v>
      </c>
      <c r="C151" s="613"/>
      <c r="D151" s="84" t="s">
        <v>96</v>
      </c>
      <c r="E151" s="101"/>
      <c r="F151" s="101"/>
      <c r="G151" s="101">
        <f>E151*F151</f>
        <v>0</v>
      </c>
    </row>
    <row r="152" spans="1:7" ht="15" customHeight="1">
      <c r="A152" s="84" t="s">
        <v>19</v>
      </c>
      <c r="B152" s="613" t="s">
        <v>153</v>
      </c>
      <c r="C152" s="613"/>
      <c r="D152" s="84"/>
      <c r="E152" s="101"/>
      <c r="F152" s="101"/>
      <c r="G152" s="101">
        <f>E152*F152</f>
        <v>0</v>
      </c>
    </row>
    <row r="153" spans="1:7" ht="15" customHeight="1">
      <c r="A153" s="84" t="s">
        <v>54</v>
      </c>
      <c r="B153" s="613" t="s">
        <v>154</v>
      </c>
      <c r="C153" s="613"/>
      <c r="D153" s="84"/>
      <c r="E153" s="101"/>
      <c r="F153" s="101"/>
      <c r="G153" s="101"/>
    </row>
    <row r="154" spans="1:7" ht="15" customHeight="1">
      <c r="A154" s="84" t="s">
        <v>22</v>
      </c>
      <c r="B154" s="613" t="s">
        <v>155</v>
      </c>
      <c r="C154" s="613"/>
      <c r="D154" s="84"/>
      <c r="E154" s="101"/>
      <c r="F154" s="101"/>
      <c r="G154" s="101"/>
    </row>
    <row r="155" spans="1:7" ht="15" customHeight="1">
      <c r="A155" s="84" t="s">
        <v>72</v>
      </c>
      <c r="B155" s="613" t="s">
        <v>156</v>
      </c>
      <c r="C155" s="613"/>
      <c r="D155" s="84"/>
      <c r="E155" s="101"/>
      <c r="F155" s="101"/>
      <c r="G155" s="101">
        <f>E155*F155</f>
        <v>0</v>
      </c>
    </row>
    <row r="156" spans="1:7" ht="14.25" customHeight="1">
      <c r="A156" s="84" t="s">
        <v>26</v>
      </c>
      <c r="B156" s="613" t="s">
        <v>157</v>
      </c>
      <c r="C156" s="613"/>
      <c r="D156" s="84" t="s">
        <v>85</v>
      </c>
      <c r="E156" s="101"/>
      <c r="F156" s="101"/>
      <c r="G156" s="101"/>
    </row>
    <row r="157" spans="1:7" ht="15" customHeight="1">
      <c r="A157" s="84"/>
      <c r="B157" s="587" t="s">
        <v>158</v>
      </c>
      <c r="C157" s="588"/>
      <c r="D157" s="84"/>
      <c r="E157" s="94"/>
      <c r="F157" s="84"/>
      <c r="G157" s="85">
        <f>SUM(G148:G156)</f>
        <v>45.29666666666666</v>
      </c>
    </row>
    <row r="158" ht="14.25">
      <c r="A158" s="67"/>
    </row>
    <row r="159" ht="14.25">
      <c r="A159" s="76" t="s">
        <v>159</v>
      </c>
    </row>
    <row r="160" ht="15" thickBot="1">
      <c r="A160" s="76"/>
    </row>
    <row r="161" spans="1:7" ht="28.5" customHeight="1">
      <c r="A161" s="623" t="s">
        <v>37</v>
      </c>
      <c r="B161" s="598" t="s">
        <v>38</v>
      </c>
      <c r="C161" s="599"/>
      <c r="D161" s="77" t="s">
        <v>39</v>
      </c>
      <c r="E161" s="78" t="s">
        <v>207</v>
      </c>
      <c r="F161" s="78" t="s">
        <v>58</v>
      </c>
      <c r="G161" s="78" t="s">
        <v>59</v>
      </c>
    </row>
    <row r="162" spans="1:7" ht="15" customHeight="1">
      <c r="A162" s="624"/>
      <c r="B162" s="600"/>
      <c r="C162" s="612"/>
      <c r="D162" s="112"/>
      <c r="E162" s="113"/>
      <c r="F162" s="113"/>
      <c r="G162" s="113"/>
    </row>
    <row r="163" spans="1:7" ht="15" customHeight="1">
      <c r="A163" s="84" t="s">
        <v>9</v>
      </c>
      <c r="B163" s="622" t="s">
        <v>160</v>
      </c>
      <c r="C163" s="622"/>
      <c r="D163" s="84" t="s">
        <v>85</v>
      </c>
      <c r="E163" s="84"/>
      <c r="F163" s="84"/>
      <c r="G163" s="84">
        <f>E163*F163</f>
        <v>0</v>
      </c>
    </row>
    <row r="164" spans="1:7" ht="15" customHeight="1">
      <c r="A164" s="84"/>
      <c r="B164" s="618"/>
      <c r="C164" s="618"/>
      <c r="D164" s="84"/>
      <c r="E164" s="84"/>
      <c r="F164" s="84"/>
      <c r="G164" s="84"/>
    </row>
    <row r="165" spans="1:7" ht="15" customHeight="1">
      <c r="A165" s="84"/>
      <c r="B165" s="587" t="s">
        <v>161</v>
      </c>
      <c r="C165" s="588"/>
      <c r="D165" s="84"/>
      <c r="E165" s="84"/>
      <c r="F165" s="84"/>
      <c r="G165" s="84">
        <f>SUM(G163:G164)</f>
        <v>0</v>
      </c>
    </row>
    <row r="166" ht="15" customHeight="1">
      <c r="A166" s="67"/>
    </row>
    <row r="167" ht="14.25">
      <c r="A167" s="76" t="s">
        <v>162</v>
      </c>
    </row>
    <row r="168" ht="15" thickBot="1">
      <c r="A168" s="76"/>
    </row>
    <row r="169" spans="1:7" ht="28.5" customHeight="1">
      <c r="A169" s="96" t="s">
        <v>37</v>
      </c>
      <c r="B169" s="598" t="s">
        <v>38</v>
      </c>
      <c r="C169" s="599"/>
      <c r="D169" s="77" t="s">
        <v>39</v>
      </c>
      <c r="E169" s="78" t="s">
        <v>207</v>
      </c>
      <c r="F169" s="78" t="s">
        <v>58</v>
      </c>
      <c r="G169" s="78" t="s">
        <v>59</v>
      </c>
    </row>
    <row r="170" spans="1:7" ht="14.25" customHeight="1">
      <c r="A170" s="84" t="s">
        <v>9</v>
      </c>
      <c r="B170" s="613" t="s">
        <v>163</v>
      </c>
      <c r="C170" s="613"/>
      <c r="D170" s="84"/>
      <c r="E170" s="84"/>
      <c r="F170" s="84"/>
      <c r="G170" s="84"/>
    </row>
    <row r="171" spans="1:7" ht="14.25" customHeight="1">
      <c r="A171" s="84"/>
      <c r="B171" s="613" t="s">
        <v>164</v>
      </c>
      <c r="C171" s="613"/>
      <c r="D171" s="84" t="s">
        <v>165</v>
      </c>
      <c r="E171" s="101"/>
      <c r="F171" s="101"/>
      <c r="G171" s="101"/>
    </row>
    <row r="172" spans="1:7" ht="14.25" customHeight="1">
      <c r="A172" s="84"/>
      <c r="B172" s="613" t="s">
        <v>167</v>
      </c>
      <c r="C172" s="613"/>
      <c r="D172" s="84" t="s">
        <v>165</v>
      </c>
      <c r="E172" s="101"/>
      <c r="F172" s="101"/>
      <c r="G172" s="101"/>
    </row>
    <row r="173" spans="1:7" ht="14.25" customHeight="1">
      <c r="A173" s="84"/>
      <c r="B173" s="613" t="s">
        <v>168</v>
      </c>
      <c r="C173" s="613"/>
      <c r="D173" s="84" t="s">
        <v>165</v>
      </c>
      <c r="E173" s="101"/>
      <c r="F173" s="101"/>
      <c r="G173" s="101">
        <f>5*F173</f>
        <v>0</v>
      </c>
    </row>
    <row r="174" spans="1:7" ht="29.25" customHeight="1">
      <c r="A174" s="84" t="s">
        <v>45</v>
      </c>
      <c r="B174" s="613" t="s">
        <v>170</v>
      </c>
      <c r="C174" s="613"/>
      <c r="D174" s="84" t="s">
        <v>165</v>
      </c>
      <c r="E174" s="101"/>
      <c r="F174" s="101"/>
      <c r="G174" s="101">
        <f>E174*F174</f>
        <v>0</v>
      </c>
    </row>
    <row r="175" spans="1:7" ht="15" customHeight="1">
      <c r="A175" s="84" t="s">
        <v>14</v>
      </c>
      <c r="B175" s="613" t="s">
        <v>171</v>
      </c>
      <c r="C175" s="613"/>
      <c r="D175" s="84" t="s">
        <v>85</v>
      </c>
      <c r="E175" s="101"/>
      <c r="F175" s="101"/>
      <c r="G175" s="101">
        <f>E175*F175</f>
        <v>0</v>
      </c>
    </row>
    <row r="176" spans="1:9" ht="15" customHeight="1">
      <c r="A176" s="84" t="s">
        <v>49</v>
      </c>
      <c r="B176" s="613" t="s">
        <v>172</v>
      </c>
      <c r="C176" s="613"/>
      <c r="D176" s="84" t="s">
        <v>91</v>
      </c>
      <c r="E176" s="101"/>
      <c r="F176" s="160"/>
      <c r="G176" s="156">
        <f>6/60*F176</f>
        <v>0</v>
      </c>
      <c r="H176" s="119"/>
      <c r="I176" s="119"/>
    </row>
    <row r="177" spans="1:7" ht="15" customHeight="1">
      <c r="A177" s="84" t="s">
        <v>19</v>
      </c>
      <c r="B177" s="613" t="s">
        <v>174</v>
      </c>
      <c r="C177" s="613"/>
      <c r="D177" s="84" t="s">
        <v>43</v>
      </c>
      <c r="E177" s="101"/>
      <c r="F177" s="107"/>
      <c r="G177" s="103">
        <f>20/60*F177</f>
        <v>0</v>
      </c>
    </row>
    <row r="178" spans="1:7" ht="14.25" customHeight="1">
      <c r="A178" s="84" t="s">
        <v>54</v>
      </c>
      <c r="B178" s="613" t="s">
        <v>175</v>
      </c>
      <c r="C178" s="613"/>
      <c r="D178" s="84" t="s">
        <v>43</v>
      </c>
      <c r="E178" s="235"/>
      <c r="F178" s="107"/>
      <c r="G178" s="103">
        <f>5/60*F178</f>
        <v>0</v>
      </c>
    </row>
    <row r="179" spans="1:7" ht="14.25" customHeight="1">
      <c r="A179" s="84" t="s">
        <v>22</v>
      </c>
      <c r="B179" s="613" t="s">
        <v>176</v>
      </c>
      <c r="C179" s="613"/>
      <c r="D179" s="84" t="s">
        <v>43</v>
      </c>
      <c r="E179" s="101"/>
      <c r="F179" s="101"/>
      <c r="G179" s="101">
        <f>E179*F179</f>
        <v>0</v>
      </c>
    </row>
    <row r="180" spans="1:7" ht="15" customHeight="1">
      <c r="A180" s="84" t="s">
        <v>72</v>
      </c>
      <c r="B180" s="613" t="s">
        <v>209</v>
      </c>
      <c r="C180" s="613"/>
      <c r="D180" s="84" t="s">
        <v>85</v>
      </c>
      <c r="E180" s="101"/>
      <c r="F180" s="101"/>
      <c r="G180" s="101">
        <f>E180*F180</f>
        <v>0</v>
      </c>
    </row>
    <row r="181" spans="1:7" ht="15" customHeight="1">
      <c r="A181" s="84"/>
      <c r="B181" s="587" t="s">
        <v>177</v>
      </c>
      <c r="C181" s="588"/>
      <c r="D181" s="84"/>
      <c r="E181" s="84"/>
      <c r="F181" s="84"/>
      <c r="G181" s="85">
        <f>SUM(G171:G180)</f>
        <v>0</v>
      </c>
    </row>
    <row r="182" ht="13.5" customHeight="1">
      <c r="A182" s="67"/>
    </row>
    <row r="183" ht="14.25">
      <c r="A183" s="76" t="s">
        <v>178</v>
      </c>
    </row>
    <row r="184" ht="15" thickBot="1">
      <c r="A184" s="76"/>
    </row>
    <row r="185" spans="1:7" ht="28.5" customHeight="1">
      <c r="A185" s="96" t="s">
        <v>37</v>
      </c>
      <c r="B185" s="598" t="s">
        <v>38</v>
      </c>
      <c r="C185" s="599"/>
      <c r="D185" s="77" t="s">
        <v>39</v>
      </c>
      <c r="E185" s="78" t="s">
        <v>207</v>
      </c>
      <c r="F185" s="78" t="s">
        <v>58</v>
      </c>
      <c r="G185" s="78" t="s">
        <v>59</v>
      </c>
    </row>
    <row r="186" spans="1:7" ht="15" customHeight="1">
      <c r="A186" s="84" t="s">
        <v>9</v>
      </c>
      <c r="B186" s="613" t="s">
        <v>179</v>
      </c>
      <c r="C186" s="613"/>
      <c r="D186" s="84" t="s">
        <v>180</v>
      </c>
      <c r="E186" s="101"/>
      <c r="F186" s="101"/>
      <c r="G186" s="101">
        <f>E186*F186</f>
        <v>0</v>
      </c>
    </row>
    <row r="187" spans="1:7" ht="15" customHeight="1">
      <c r="A187" s="84" t="s">
        <v>45</v>
      </c>
      <c r="B187" s="613" t="s">
        <v>181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 t="s">
        <v>14</v>
      </c>
      <c r="B188" s="613" t="s">
        <v>182</v>
      </c>
      <c r="C188" s="613"/>
      <c r="D188" s="84" t="s">
        <v>180</v>
      </c>
      <c r="E188" s="101"/>
      <c r="F188" s="101"/>
      <c r="G188" s="101">
        <f>E188*F188</f>
        <v>0</v>
      </c>
    </row>
    <row r="189" spans="1:7" ht="15" customHeight="1">
      <c r="A189" s="84"/>
      <c r="B189" s="587" t="s">
        <v>183</v>
      </c>
      <c r="C189" s="588"/>
      <c r="D189" s="84"/>
      <c r="E189" s="84"/>
      <c r="F189" s="84"/>
      <c r="G189" s="85">
        <f>SUM(G186:G188)</f>
        <v>0</v>
      </c>
    </row>
    <row r="190" ht="14.25">
      <c r="A190" s="67"/>
    </row>
    <row r="191" ht="14.25">
      <c r="A191" s="67"/>
    </row>
    <row r="192" ht="14.25">
      <c r="A192" s="67" t="s">
        <v>184</v>
      </c>
    </row>
    <row r="193" ht="15" thickBot="1">
      <c r="A193" s="67"/>
    </row>
    <row r="194" spans="1:7" ht="28.5" customHeight="1">
      <c r="A194" s="96" t="s">
        <v>37</v>
      </c>
      <c r="B194" s="598" t="s">
        <v>38</v>
      </c>
      <c r="C194" s="599"/>
      <c r="D194" s="77" t="s">
        <v>39</v>
      </c>
      <c r="E194" s="78" t="s">
        <v>210</v>
      </c>
      <c r="F194" s="78" t="s">
        <v>58</v>
      </c>
      <c r="G194" s="78" t="s">
        <v>59</v>
      </c>
    </row>
    <row r="195" spans="1:7" ht="15" customHeight="1">
      <c r="A195" s="84" t="s">
        <v>9</v>
      </c>
      <c r="B195" s="613" t="s">
        <v>185</v>
      </c>
      <c r="C195" s="613"/>
      <c r="D195" s="84" t="s">
        <v>85</v>
      </c>
      <c r="E195" s="101">
        <v>0.08</v>
      </c>
      <c r="F195" s="101">
        <v>32.6</v>
      </c>
      <c r="G195" s="103">
        <f>E195*F195</f>
        <v>2.608</v>
      </c>
    </row>
    <row r="196" spans="1:7" ht="14.25" customHeight="1">
      <c r="A196" s="84" t="s">
        <v>45</v>
      </c>
      <c r="B196" s="613" t="s">
        <v>186</v>
      </c>
      <c r="C196" s="613"/>
      <c r="D196" s="84" t="s">
        <v>85</v>
      </c>
      <c r="E196" s="114"/>
      <c r="F196" s="44">
        <f>(1151.55+210.41+5.7+145.58)*1.2</f>
        <v>1815.888</v>
      </c>
      <c r="G196" s="103">
        <f>F196*E195</f>
        <v>145.27104</v>
      </c>
    </row>
    <row r="197" spans="1:7" ht="14.25" customHeight="1">
      <c r="A197" s="84" t="s">
        <v>14</v>
      </c>
      <c r="B197" s="613" t="s">
        <v>187</v>
      </c>
      <c r="C197" s="613"/>
      <c r="D197" s="84" t="s">
        <v>85</v>
      </c>
      <c r="E197" s="114"/>
      <c r="F197" s="114"/>
      <c r="G197" s="114"/>
    </row>
    <row r="198" spans="1:7" ht="14.25">
      <c r="A198" s="84" t="s">
        <v>49</v>
      </c>
      <c r="B198" s="613" t="s">
        <v>188</v>
      </c>
      <c r="C198" s="613"/>
      <c r="D198" s="84" t="s">
        <v>85</v>
      </c>
      <c r="E198" s="114"/>
      <c r="F198" s="114"/>
      <c r="G198" s="114"/>
    </row>
    <row r="199" spans="1:7" ht="15" customHeight="1">
      <c r="A199" s="84" t="s">
        <v>19</v>
      </c>
      <c r="B199" s="613" t="s">
        <v>189</v>
      </c>
      <c r="C199" s="613"/>
      <c r="D199" s="84" t="s">
        <v>85</v>
      </c>
      <c r="E199" s="114"/>
      <c r="F199" s="114"/>
      <c r="G199" s="114"/>
    </row>
    <row r="200" spans="1:10" ht="15" customHeight="1">
      <c r="A200" s="84" t="s">
        <v>54</v>
      </c>
      <c r="B200" s="613" t="s">
        <v>190</v>
      </c>
      <c r="C200" s="613"/>
      <c r="D200" s="84" t="s">
        <v>101</v>
      </c>
      <c r="E200" s="241">
        <f>J200/F200</f>
        <v>2.8919720053608002</v>
      </c>
      <c r="F200" s="43">
        <v>1.68</v>
      </c>
      <c r="G200" s="240">
        <f>E200*F200</f>
        <v>4.858512969006144</v>
      </c>
      <c r="H200" s="54"/>
      <c r="I200" s="448">
        <f>1288300*0.4/8485.23</f>
        <v>60.7314121125768</v>
      </c>
      <c r="J200" s="448">
        <f>I200*E195</f>
        <v>4.858512969006144</v>
      </c>
    </row>
    <row r="201" spans="1:10" ht="15" customHeight="1">
      <c r="A201" s="84" t="s">
        <v>22</v>
      </c>
      <c r="B201" s="613" t="s">
        <v>191</v>
      </c>
      <c r="C201" s="613"/>
      <c r="D201" s="84" t="s">
        <v>192</v>
      </c>
      <c r="E201" s="446">
        <f>J201/F201</f>
        <v>0.016093284192863787</v>
      </c>
      <c r="F201" s="43">
        <f>987*1.2</f>
        <v>1184.3999999999999</v>
      </c>
      <c r="G201" s="240">
        <f>E201*F201</f>
        <v>19.06088579802787</v>
      </c>
      <c r="H201" s="54"/>
      <c r="I201" s="448">
        <f>2021700/8485.23</f>
        <v>238.26107247534836</v>
      </c>
      <c r="J201" s="448">
        <f>I201*E195</f>
        <v>19.06088579802787</v>
      </c>
    </row>
    <row r="202" spans="1:10" ht="15" customHeight="1">
      <c r="A202" s="84" t="s">
        <v>72</v>
      </c>
      <c r="B202" s="613" t="s">
        <v>193</v>
      </c>
      <c r="C202" s="613"/>
      <c r="D202" s="84" t="s">
        <v>85</v>
      </c>
      <c r="E202" s="447"/>
      <c r="F202" s="241">
        <f>(229000+16300)/8485.23</f>
        <v>28.909057267746427</v>
      </c>
      <c r="G202" s="240">
        <f>F202*E195</f>
        <v>2.3127245814197144</v>
      </c>
      <c r="H202" s="54"/>
      <c r="I202" s="54"/>
      <c r="J202" s="54"/>
    </row>
    <row r="203" spans="1:10" ht="14.25" customHeight="1">
      <c r="A203" s="84" t="s">
        <v>26</v>
      </c>
      <c r="B203" s="613" t="s">
        <v>194</v>
      </c>
      <c r="C203" s="613"/>
      <c r="D203" s="84" t="s">
        <v>85</v>
      </c>
      <c r="E203" s="447"/>
      <c r="F203" s="43">
        <v>2693.4</v>
      </c>
      <c r="G203" s="240">
        <f>F203*E195</f>
        <v>215.472</v>
      </c>
      <c r="H203" s="54"/>
      <c r="I203" s="54"/>
      <c r="J203" s="54"/>
    </row>
    <row r="204" spans="1:10" ht="15" customHeight="1">
      <c r="A204" s="84" t="s">
        <v>31</v>
      </c>
      <c r="B204" s="613" t="s">
        <v>195</v>
      </c>
      <c r="C204" s="613"/>
      <c r="D204" s="84" t="s">
        <v>85</v>
      </c>
      <c r="E204" s="447"/>
      <c r="F204" s="43">
        <v>300.6</v>
      </c>
      <c r="G204" s="240">
        <f>F204*E195</f>
        <v>24.048000000000002</v>
      </c>
      <c r="H204" s="54"/>
      <c r="I204" s="54"/>
      <c r="J204" s="54"/>
    </row>
    <row r="205" spans="1:10" ht="15" customHeight="1">
      <c r="A205" s="84" t="s">
        <v>79</v>
      </c>
      <c r="B205" s="613" t="s">
        <v>196</v>
      </c>
      <c r="C205" s="613"/>
      <c r="D205" s="84" t="s">
        <v>85</v>
      </c>
      <c r="E205" s="447"/>
      <c r="F205" s="43">
        <v>1242.8</v>
      </c>
      <c r="G205" s="240">
        <f>F205*E195</f>
        <v>99.42399999999999</v>
      </c>
      <c r="H205" s="54"/>
      <c r="I205" s="54"/>
      <c r="J205" s="54"/>
    </row>
    <row r="206" ht="14.25">
      <c r="A206" s="67"/>
    </row>
    <row r="207" ht="14.25">
      <c r="A207" s="67" t="s">
        <v>197</v>
      </c>
    </row>
    <row r="208" ht="15" thickBot="1">
      <c r="A208" s="76"/>
    </row>
    <row r="209" spans="1:7" ht="14.25" customHeight="1">
      <c r="A209" s="623" t="s">
        <v>37</v>
      </c>
      <c r="B209" s="598" t="s">
        <v>38</v>
      </c>
      <c r="C209" s="599"/>
      <c r="D209" s="77" t="s">
        <v>198</v>
      </c>
      <c r="E209" s="598" t="s">
        <v>59</v>
      </c>
      <c r="F209" s="616"/>
      <c r="G209" s="599"/>
    </row>
    <row r="210" spans="1:7" ht="14.25">
      <c r="A210" s="624"/>
      <c r="B210" s="600"/>
      <c r="C210" s="612"/>
      <c r="D210" s="112" t="s">
        <v>199</v>
      </c>
      <c r="E210" s="600"/>
      <c r="F210" s="617"/>
      <c r="G210" s="612"/>
    </row>
    <row r="211" spans="1:7" ht="15" customHeight="1">
      <c r="A211" s="84" t="s">
        <v>9</v>
      </c>
      <c r="B211" s="613" t="s">
        <v>200</v>
      </c>
      <c r="C211" s="613"/>
      <c r="D211" s="84" t="s">
        <v>85</v>
      </c>
      <c r="E211" s="614">
        <f>G44+G58+G62+G63+G96+G117+G129+G142+G157+G165+G181+G189</f>
        <v>1399.497909558475</v>
      </c>
      <c r="F211" s="615"/>
      <c r="G211" s="615"/>
    </row>
    <row r="212" spans="1:7" ht="15" customHeight="1">
      <c r="A212" s="84" t="s">
        <v>45</v>
      </c>
      <c r="B212" s="613" t="s">
        <v>201</v>
      </c>
      <c r="C212" s="613"/>
      <c r="D212" s="84" t="s">
        <v>85</v>
      </c>
      <c r="E212" s="614">
        <f>SUM(G195:G205)</f>
        <v>513.0551633484537</v>
      </c>
      <c r="F212" s="614"/>
      <c r="G212" s="614"/>
    </row>
    <row r="213" spans="1:7" ht="14.25">
      <c r="A213" s="84" t="s">
        <v>14</v>
      </c>
      <c r="B213" s="613" t="s">
        <v>202</v>
      </c>
      <c r="C213" s="613"/>
      <c r="D213" s="84" t="s">
        <v>85</v>
      </c>
      <c r="E213" s="614">
        <f>E211+E212</f>
        <v>1912.5530729069287</v>
      </c>
      <c r="F213" s="614"/>
      <c r="G213" s="614"/>
    </row>
    <row r="214" spans="1:7" ht="15" customHeight="1">
      <c r="A214" s="84">
        <v>4</v>
      </c>
      <c r="B214" s="613" t="s">
        <v>203</v>
      </c>
      <c r="C214" s="613"/>
      <c r="D214" s="84" t="s">
        <v>85</v>
      </c>
      <c r="E214" s="611"/>
      <c r="F214" s="611"/>
      <c r="G214" s="611"/>
    </row>
    <row r="215" spans="1:7" ht="15" customHeight="1">
      <c r="A215" s="84" t="s">
        <v>19</v>
      </c>
      <c r="B215" s="613" t="s">
        <v>204</v>
      </c>
      <c r="C215" s="613"/>
      <c r="D215" s="84" t="s">
        <v>85</v>
      </c>
      <c r="E215" s="611">
        <f>E213-E214</f>
        <v>1912.5530729069287</v>
      </c>
      <c r="F215" s="611"/>
      <c r="G215" s="611"/>
    </row>
    <row r="216" ht="14.25">
      <c r="A216" s="95"/>
    </row>
    <row r="217" ht="14.25">
      <c r="A217" s="95"/>
    </row>
    <row r="218" spans="2:3" ht="14.25">
      <c r="B218" s="116" t="s">
        <v>63</v>
      </c>
      <c r="C218" s="117"/>
    </row>
    <row r="219" ht="14.25">
      <c r="A219" s="95"/>
    </row>
    <row r="220" ht="14.25">
      <c r="B220" s="116" t="s">
        <v>206</v>
      </c>
    </row>
  </sheetData>
  <sheetProtection/>
  <mergeCells count="165">
    <mergeCell ref="B137:C137"/>
    <mergeCell ref="B139:C139"/>
    <mergeCell ref="B122:C122"/>
    <mergeCell ref="B133:C133"/>
    <mergeCell ref="B134:C134"/>
    <mergeCell ref="B135:C135"/>
    <mergeCell ref="B128:C128"/>
    <mergeCell ref="B110:C110"/>
    <mergeCell ref="B113:C113"/>
    <mergeCell ref="B114:C114"/>
    <mergeCell ref="B115:C115"/>
    <mergeCell ref="B116:C116"/>
    <mergeCell ref="B136:C136"/>
    <mergeCell ref="B71:C71"/>
    <mergeCell ref="B72:C72"/>
    <mergeCell ref="B78:C78"/>
    <mergeCell ref="B109:C109"/>
    <mergeCell ref="B94:C94"/>
    <mergeCell ref="B101:C101"/>
    <mergeCell ref="B102:C102"/>
    <mergeCell ref="B103:C103"/>
    <mergeCell ref="B100:C100"/>
    <mergeCell ref="B106:C106"/>
    <mergeCell ref="A33:A34"/>
    <mergeCell ref="B44:C44"/>
    <mergeCell ref="B62:C62"/>
    <mergeCell ref="B63:C63"/>
    <mergeCell ref="A40:A43"/>
    <mergeCell ref="B36:C36"/>
    <mergeCell ref="B37:C37"/>
    <mergeCell ref="B38:C38"/>
    <mergeCell ref="B39:C39"/>
    <mergeCell ref="B40:C40"/>
    <mergeCell ref="A209:A210"/>
    <mergeCell ref="B123:C123"/>
    <mergeCell ref="B124:C124"/>
    <mergeCell ref="B125:C125"/>
    <mergeCell ref="B126:C126"/>
    <mergeCell ref="B127:C127"/>
    <mergeCell ref="B140:C140"/>
    <mergeCell ref="A161:A162"/>
    <mergeCell ref="B161:C162"/>
    <mergeCell ref="B163:C163"/>
    <mergeCell ref="A47:A48"/>
    <mergeCell ref="D134:G134"/>
    <mergeCell ref="F47:F48"/>
    <mergeCell ref="G47:G48"/>
    <mergeCell ref="B79:C79"/>
    <mergeCell ref="B80:C80"/>
    <mergeCell ref="B69:C69"/>
    <mergeCell ref="B70:C70"/>
    <mergeCell ref="A68:C68"/>
    <mergeCell ref="A67:C67"/>
    <mergeCell ref="B84:C84"/>
    <mergeCell ref="A86:C86"/>
    <mergeCell ref="A87:C87"/>
    <mergeCell ref="A92:C92"/>
    <mergeCell ref="B104:C104"/>
    <mergeCell ref="B105:C105"/>
    <mergeCell ref="B95:C95"/>
    <mergeCell ref="B150:C150"/>
    <mergeCell ref="B151:C151"/>
    <mergeCell ref="B93:C93"/>
    <mergeCell ref="B142:C142"/>
    <mergeCell ref="D135:G135"/>
    <mergeCell ref="B85:C85"/>
    <mergeCell ref="B107:C107"/>
    <mergeCell ref="B108:C108"/>
    <mergeCell ref="B111:C111"/>
    <mergeCell ref="B112:C112"/>
    <mergeCell ref="B73:C73"/>
    <mergeCell ref="B74:C74"/>
    <mergeCell ref="B75:C75"/>
    <mergeCell ref="B76:C76"/>
    <mergeCell ref="B154:C154"/>
    <mergeCell ref="A81:C81"/>
    <mergeCell ref="A82:C82"/>
    <mergeCell ref="B153:C153"/>
    <mergeCell ref="B152:C152"/>
    <mergeCell ref="B149:C149"/>
    <mergeCell ref="B148:C148"/>
    <mergeCell ref="B147:C147"/>
    <mergeCell ref="B138:C138"/>
    <mergeCell ref="B141:C141"/>
    <mergeCell ref="B77:C77"/>
    <mergeCell ref="B90:C90"/>
    <mergeCell ref="B96:C96"/>
    <mergeCell ref="B88:C88"/>
    <mergeCell ref="B89:C89"/>
    <mergeCell ref="B83:C83"/>
    <mergeCell ref="B157:C157"/>
    <mergeCell ref="B156:C156"/>
    <mergeCell ref="B155:C155"/>
    <mergeCell ref="B172:C172"/>
    <mergeCell ref="B175:C175"/>
    <mergeCell ref="B176:C176"/>
    <mergeCell ref="B174:C174"/>
    <mergeCell ref="B170:C170"/>
    <mergeCell ref="B164:C164"/>
    <mergeCell ref="B165:C165"/>
    <mergeCell ref="B169:C169"/>
    <mergeCell ref="B171:C171"/>
    <mergeCell ref="B185:C185"/>
    <mergeCell ref="B194:C194"/>
    <mergeCell ref="B189:C189"/>
    <mergeCell ref="B178:C178"/>
    <mergeCell ref="B179:C179"/>
    <mergeCell ref="B180:C180"/>
    <mergeCell ref="B196:C196"/>
    <mergeCell ref="B197:C197"/>
    <mergeCell ref="B198:C198"/>
    <mergeCell ref="B199:C199"/>
    <mergeCell ref="B195:C195"/>
    <mergeCell ref="B173:C173"/>
    <mergeCell ref="B186:C186"/>
    <mergeCell ref="B187:C187"/>
    <mergeCell ref="B188:C188"/>
    <mergeCell ref="B177:C177"/>
    <mergeCell ref="B200:C200"/>
    <mergeCell ref="B201:C201"/>
    <mergeCell ref="B202:C202"/>
    <mergeCell ref="E214:G214"/>
    <mergeCell ref="B203:C203"/>
    <mergeCell ref="B204:C204"/>
    <mergeCell ref="B205:C205"/>
    <mergeCell ref="E209:G210"/>
    <mergeCell ref="E215:G215"/>
    <mergeCell ref="B209:C210"/>
    <mergeCell ref="B211:C211"/>
    <mergeCell ref="B212:C212"/>
    <mergeCell ref="B213:C213"/>
    <mergeCell ref="B214:C214"/>
    <mergeCell ref="B215:C215"/>
    <mergeCell ref="E211:G211"/>
    <mergeCell ref="E212:G212"/>
    <mergeCell ref="E213:G213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B66:C66"/>
    <mergeCell ref="B61:C61"/>
    <mergeCell ref="D47:D48"/>
    <mergeCell ref="F20:G20"/>
    <mergeCell ref="F22:G22"/>
    <mergeCell ref="F24:G24"/>
    <mergeCell ref="B28:G28"/>
    <mergeCell ref="C26:G26"/>
    <mergeCell ref="E47:E48"/>
    <mergeCell ref="B33:C34"/>
    <mergeCell ref="B117:C117"/>
    <mergeCell ref="B129:C129"/>
    <mergeCell ref="B181:C181"/>
    <mergeCell ref="A7:G7"/>
    <mergeCell ref="A8:G8"/>
    <mergeCell ref="A9:G9"/>
    <mergeCell ref="B27:G27"/>
    <mergeCell ref="D24:E24"/>
    <mergeCell ref="F16:G16"/>
    <mergeCell ref="F18:G18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20"/>
  <sheetViews>
    <sheetView zoomScalePageLayoutView="0" workbookViewId="0" topLeftCell="A187">
      <selection activeCell="H187" sqref="H187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370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358</v>
      </c>
      <c r="D18" s="596" t="s">
        <v>17</v>
      </c>
      <c r="E18" s="597"/>
      <c r="F18" s="596" t="s">
        <v>351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70">
        <v>12</v>
      </c>
      <c r="D20" s="596" t="s">
        <v>21</v>
      </c>
      <c r="E20" s="597"/>
      <c r="F20" s="596" t="s">
        <v>219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558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255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 t="s">
        <v>559</v>
      </c>
      <c r="D26" s="592"/>
      <c r="E26" s="592"/>
      <c r="F26" s="592"/>
      <c r="G26" s="593"/>
    </row>
    <row r="27" spans="1:7" ht="15" thickBot="1">
      <c r="A27" s="75"/>
      <c r="B27" s="591" t="s">
        <v>560</v>
      </c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278</v>
      </c>
      <c r="C36" s="613"/>
      <c r="D36" s="84" t="s">
        <v>43</v>
      </c>
      <c r="E36" s="85">
        <v>4</v>
      </c>
      <c r="F36" s="86">
        <f>F50/12</f>
        <v>2.5487256371814095</v>
      </c>
      <c r="G36" s="85">
        <f aca="true" t="shared" si="0" ref="G36:G43">E36*F36</f>
        <v>10.194902548725638</v>
      </c>
    </row>
    <row r="37" spans="1:7" ht="15" customHeight="1">
      <c r="A37" s="84" t="s">
        <v>45</v>
      </c>
      <c r="B37" s="613" t="s">
        <v>279</v>
      </c>
      <c r="C37" s="613"/>
      <c r="D37" s="84" t="s">
        <v>43</v>
      </c>
      <c r="E37" s="84">
        <v>10</v>
      </c>
      <c r="F37" s="86">
        <f>F50/12</f>
        <v>2.5487256371814095</v>
      </c>
      <c r="G37" s="85">
        <f t="shared" si="0"/>
        <v>25.487256371814095</v>
      </c>
    </row>
    <row r="38" spans="1:7" ht="15" customHeight="1">
      <c r="A38" s="84" t="s">
        <v>14</v>
      </c>
      <c r="B38" s="613" t="s">
        <v>280</v>
      </c>
      <c r="C38" s="613"/>
      <c r="D38" s="84" t="s">
        <v>43</v>
      </c>
      <c r="E38" s="84">
        <v>2</v>
      </c>
      <c r="F38" s="86">
        <f>F50/12</f>
        <v>2.5487256371814095</v>
      </c>
      <c r="G38" s="85">
        <f t="shared" si="0"/>
        <v>5.097451274362819</v>
      </c>
    </row>
    <row r="39" spans="1:7" ht="15" customHeight="1">
      <c r="A39" s="84" t="s">
        <v>49</v>
      </c>
      <c r="B39" s="613" t="s">
        <v>281</v>
      </c>
      <c r="C39" s="613"/>
      <c r="D39" s="84" t="s">
        <v>43</v>
      </c>
      <c r="E39" s="84">
        <v>4</v>
      </c>
      <c r="F39" s="86">
        <f>F50/12</f>
        <v>2.5487256371814095</v>
      </c>
      <c r="G39" s="85">
        <f t="shared" si="0"/>
        <v>10.194902548725638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53</v>
      </c>
      <c r="C41" s="608"/>
      <c r="D41" s="87"/>
      <c r="E41" s="90"/>
      <c r="F41" s="89"/>
      <c r="G41" s="84">
        <f t="shared" si="0"/>
        <v>0</v>
      </c>
    </row>
    <row r="42" spans="1:7" ht="15.75" customHeight="1">
      <c r="A42" s="627"/>
      <c r="B42" s="607" t="s">
        <v>53</v>
      </c>
      <c r="C42" s="608"/>
      <c r="D42" s="87"/>
      <c r="E42" s="90"/>
      <c r="F42" s="89"/>
      <c r="G42" s="84">
        <f t="shared" si="0"/>
        <v>0</v>
      </c>
    </row>
    <row r="43" spans="1:7" ht="14.25">
      <c r="A43" s="627"/>
      <c r="B43" s="609" t="s">
        <v>53</v>
      </c>
      <c r="C43" s="610"/>
      <c r="D43" s="87"/>
      <c r="E43" s="91"/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50.97451274362819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1</v>
      </c>
      <c r="F49" s="86">
        <f>6600*12/2001</f>
        <v>39.58020989505248</v>
      </c>
      <c r="G49" s="85">
        <f>E49*F49</f>
        <v>39.58020989505248</v>
      </c>
    </row>
    <row r="50" spans="1:7" ht="15" customHeight="1">
      <c r="A50" s="84">
        <v>2</v>
      </c>
      <c r="B50" s="93" t="s">
        <v>63</v>
      </c>
      <c r="C50" s="93" t="s">
        <v>284</v>
      </c>
      <c r="D50" s="84" t="s">
        <v>43</v>
      </c>
      <c r="E50" s="84">
        <v>10</v>
      </c>
      <c r="F50" s="86">
        <f>5100*12/2001</f>
        <v>30.584707646176913</v>
      </c>
      <c r="G50" s="85">
        <f>E50*F50</f>
        <v>305.8470764617691</v>
      </c>
    </row>
    <row r="51" spans="1:9" ht="15" customHeight="1">
      <c r="A51" s="84">
        <v>3</v>
      </c>
      <c r="B51" s="93" t="s">
        <v>67</v>
      </c>
      <c r="C51" s="93" t="s">
        <v>395</v>
      </c>
      <c r="D51" s="84" t="s">
        <v>43</v>
      </c>
      <c r="E51" s="94" t="s">
        <v>364</v>
      </c>
      <c r="F51" s="86">
        <f>4386*12/2001</f>
        <v>26.302848575712144</v>
      </c>
      <c r="G51" s="85">
        <f>E51*F51</f>
        <v>420.8455772113943</v>
      </c>
      <c r="I51" s="440" t="s">
        <v>537</v>
      </c>
    </row>
    <row r="52" spans="1:9" ht="15" customHeight="1">
      <c r="A52" s="84">
        <v>4</v>
      </c>
      <c r="B52" s="93" t="s">
        <v>70</v>
      </c>
      <c r="C52" s="93" t="s">
        <v>286</v>
      </c>
      <c r="D52" s="84" t="s">
        <v>43</v>
      </c>
      <c r="E52" s="84">
        <v>10</v>
      </c>
      <c r="F52" s="86">
        <f>5120*12/2001</f>
        <v>30.70464767616192</v>
      </c>
      <c r="G52" s="85">
        <f aca="true" t="shared" si="1" ref="G52:G57">E52*F52</f>
        <v>307.0464767616192</v>
      </c>
      <c r="I52" s="234"/>
    </row>
    <row r="53" spans="1:9" ht="15" customHeight="1">
      <c r="A53" s="84">
        <v>5</v>
      </c>
      <c r="B53" s="93" t="s">
        <v>73</v>
      </c>
      <c r="C53" s="93" t="s">
        <v>395</v>
      </c>
      <c r="D53" s="84" t="s">
        <v>43</v>
      </c>
      <c r="E53" s="84">
        <v>6</v>
      </c>
      <c r="F53" s="86">
        <f>3850*12/2001</f>
        <v>23.088455772113942</v>
      </c>
      <c r="G53" s="85">
        <f t="shared" si="1"/>
        <v>138.53073463268365</v>
      </c>
      <c r="I53" s="443" t="s">
        <v>561</v>
      </c>
    </row>
    <row r="54" spans="1:9" ht="15" customHeight="1">
      <c r="A54" s="84">
        <v>6</v>
      </c>
      <c r="B54" s="93" t="s">
        <v>80</v>
      </c>
      <c r="C54" s="93" t="s">
        <v>395</v>
      </c>
      <c r="D54" s="84" t="s">
        <v>43</v>
      </c>
      <c r="E54" s="84">
        <v>8</v>
      </c>
      <c r="F54" s="86">
        <f>2890*12/2001</f>
        <v>17.331334332833585</v>
      </c>
      <c r="G54" s="85">
        <f t="shared" si="1"/>
        <v>138.65067466266868</v>
      </c>
      <c r="I54" s="234" t="s">
        <v>450</v>
      </c>
    </row>
    <row r="55" spans="1:9" ht="15" customHeight="1">
      <c r="A55" s="84">
        <v>7</v>
      </c>
      <c r="B55" s="93" t="s">
        <v>263</v>
      </c>
      <c r="C55" s="93" t="s">
        <v>395</v>
      </c>
      <c r="D55" s="84" t="s">
        <v>43</v>
      </c>
      <c r="E55" s="84">
        <v>16</v>
      </c>
      <c r="F55" s="86">
        <f>3061*12/2001</f>
        <v>18.356821589205396</v>
      </c>
      <c r="G55" s="85">
        <f t="shared" si="1"/>
        <v>293.70914542728633</v>
      </c>
      <c r="I55" s="234" t="s">
        <v>411</v>
      </c>
    </row>
    <row r="56" spans="1:9" ht="15" customHeight="1">
      <c r="A56" s="84">
        <v>8</v>
      </c>
      <c r="B56" s="93" t="s">
        <v>556</v>
      </c>
      <c r="C56" s="93" t="s">
        <v>395</v>
      </c>
      <c r="D56" s="84" t="s">
        <v>43</v>
      </c>
      <c r="E56" s="94" t="s">
        <v>228</v>
      </c>
      <c r="F56" s="86">
        <f>4550*12/2001</f>
        <v>27.286356821589205</v>
      </c>
      <c r="G56" s="85">
        <f t="shared" si="1"/>
        <v>27.286356821589205</v>
      </c>
      <c r="I56" s="234" t="s">
        <v>557</v>
      </c>
    </row>
    <row r="57" spans="1:9" ht="15" customHeight="1">
      <c r="A57" s="84">
        <v>9</v>
      </c>
      <c r="B57" s="93" t="s">
        <v>425</v>
      </c>
      <c r="C57" s="93" t="s">
        <v>395</v>
      </c>
      <c r="D57" s="84" t="s">
        <v>43</v>
      </c>
      <c r="E57" s="94" t="s">
        <v>515</v>
      </c>
      <c r="F57" s="86">
        <f>3894*12/2001</f>
        <v>23.35232383808096</v>
      </c>
      <c r="G57" s="85">
        <f t="shared" si="1"/>
        <v>210.17091454272864</v>
      </c>
      <c r="I57" s="442" t="s">
        <v>431</v>
      </c>
    </row>
    <row r="58" spans="1:7" ht="15" customHeight="1">
      <c r="A58" s="84"/>
      <c r="B58" s="93" t="s">
        <v>82</v>
      </c>
      <c r="C58" s="93"/>
      <c r="D58" s="84"/>
      <c r="E58" s="84"/>
      <c r="F58" s="84"/>
      <c r="G58" s="85">
        <f>SUM(G49:G57)</f>
        <v>1881.6671664167916</v>
      </c>
    </row>
    <row r="59" ht="15" customHeight="1">
      <c r="A59" s="95"/>
    </row>
    <row r="60" ht="15" thickBot="1">
      <c r="A60" s="76" t="s">
        <v>83</v>
      </c>
    </row>
    <row r="61" spans="1:7" ht="28.5" customHeight="1">
      <c r="A61" s="96" t="s">
        <v>37</v>
      </c>
      <c r="B61" s="598" t="s">
        <v>38</v>
      </c>
      <c r="C61" s="599"/>
      <c r="D61" s="78" t="s">
        <v>39</v>
      </c>
      <c r="E61" s="78" t="s">
        <v>207</v>
      </c>
      <c r="F61" s="78" t="s">
        <v>58</v>
      </c>
      <c r="G61" s="78" t="s">
        <v>59</v>
      </c>
    </row>
    <row r="62" spans="1:7" ht="15" customHeight="1">
      <c r="A62" s="84" t="s">
        <v>9</v>
      </c>
      <c r="B62" s="613" t="s">
        <v>84</v>
      </c>
      <c r="C62" s="613"/>
      <c r="D62" s="84" t="s">
        <v>85</v>
      </c>
      <c r="E62" s="97"/>
      <c r="F62" s="97"/>
      <c r="G62" s="85">
        <f>(G44+G58)*0.23</f>
        <v>444.5075862068966</v>
      </c>
    </row>
    <row r="63" spans="1:7" ht="15" customHeight="1">
      <c r="A63" s="84" t="s">
        <v>45</v>
      </c>
      <c r="B63" s="613" t="s">
        <v>539</v>
      </c>
      <c r="C63" s="613"/>
      <c r="D63" s="84" t="s">
        <v>85</v>
      </c>
      <c r="E63" s="97"/>
      <c r="F63" s="97"/>
      <c r="G63" s="85">
        <f>(G44+G58)*0.04</f>
        <v>77.3056671664168</v>
      </c>
    </row>
    <row r="64" ht="18" customHeight="1">
      <c r="A64" s="95"/>
    </row>
    <row r="65" ht="15" thickBot="1">
      <c r="A65" s="76" t="s">
        <v>87</v>
      </c>
    </row>
    <row r="66" spans="1:7" ht="27" customHeight="1" thickBot="1">
      <c r="A66" s="78" t="s">
        <v>37</v>
      </c>
      <c r="B66" s="598" t="s">
        <v>38</v>
      </c>
      <c r="C66" s="599"/>
      <c r="D66" s="77" t="s">
        <v>39</v>
      </c>
      <c r="E66" s="96" t="s">
        <v>207</v>
      </c>
      <c r="F66" s="78" t="s">
        <v>58</v>
      </c>
      <c r="G66" s="78" t="s">
        <v>59</v>
      </c>
    </row>
    <row r="67" spans="1:7" ht="15" customHeight="1">
      <c r="A67" s="625"/>
      <c r="B67" s="625"/>
      <c r="C67" s="625"/>
      <c r="D67" s="98"/>
      <c r="E67" s="98"/>
      <c r="F67" s="99"/>
      <c r="G67" s="99"/>
    </row>
    <row r="68" spans="1:7" ht="14.25">
      <c r="A68" s="620" t="s">
        <v>88</v>
      </c>
      <c r="B68" s="620"/>
      <c r="C68" s="620"/>
      <c r="D68" s="87"/>
      <c r="E68" s="87"/>
      <c r="F68" s="89"/>
      <c r="G68" s="89"/>
    </row>
    <row r="69" spans="1:7" ht="15" customHeight="1">
      <c r="A69" s="100" t="s">
        <v>9</v>
      </c>
      <c r="B69" s="613" t="s">
        <v>313</v>
      </c>
      <c r="C69" s="613"/>
      <c r="D69" s="84"/>
      <c r="E69" s="84"/>
      <c r="F69" s="84"/>
      <c r="G69" s="84"/>
    </row>
    <row r="70" spans="1:7" ht="15" customHeight="1">
      <c r="A70" s="100" t="s">
        <v>45</v>
      </c>
      <c r="B70" s="613" t="s">
        <v>90</v>
      </c>
      <c r="C70" s="613"/>
      <c r="D70" s="84" t="s">
        <v>91</v>
      </c>
      <c r="E70" s="84"/>
      <c r="F70" s="84"/>
      <c r="G70" s="85">
        <f>E70*F70</f>
        <v>0</v>
      </c>
    </row>
    <row r="71" spans="1:7" ht="15" customHeight="1">
      <c r="A71" s="100" t="s">
        <v>14</v>
      </c>
      <c r="B71" s="613" t="s">
        <v>92</v>
      </c>
      <c r="C71" s="613"/>
      <c r="D71" s="84" t="s">
        <v>91</v>
      </c>
      <c r="E71" s="84"/>
      <c r="F71" s="84"/>
      <c r="G71" s="85"/>
    </row>
    <row r="72" spans="1:7" ht="15" customHeight="1">
      <c r="A72" s="100" t="s">
        <v>49</v>
      </c>
      <c r="B72" s="613" t="s">
        <v>93</v>
      </c>
      <c r="C72" s="613"/>
      <c r="D72" s="84" t="s">
        <v>91</v>
      </c>
      <c r="E72" s="84"/>
      <c r="F72" s="84"/>
      <c r="G72" s="85">
        <f>E72*F72</f>
        <v>0</v>
      </c>
    </row>
    <row r="73" spans="1:7" ht="15" customHeight="1">
      <c r="A73" s="100" t="s">
        <v>19</v>
      </c>
      <c r="B73" s="613" t="s">
        <v>94</v>
      </c>
      <c r="C73" s="613"/>
      <c r="D73" s="84"/>
      <c r="E73" s="84"/>
      <c r="F73" s="84"/>
      <c r="G73" s="84"/>
    </row>
    <row r="74" spans="1:7" ht="15" customHeight="1">
      <c r="A74" s="100"/>
      <c r="B74" s="619" t="s">
        <v>95</v>
      </c>
      <c r="C74" s="619"/>
      <c r="D74" s="101" t="s">
        <v>96</v>
      </c>
      <c r="E74" s="101"/>
      <c r="F74" s="101"/>
      <c r="G74" s="101"/>
    </row>
    <row r="75" spans="1:7" ht="15" customHeight="1">
      <c r="A75" s="100"/>
      <c r="B75" s="619" t="s">
        <v>97</v>
      </c>
      <c r="C75" s="619"/>
      <c r="D75" s="101" t="s">
        <v>91</v>
      </c>
      <c r="E75" s="101"/>
      <c r="F75" s="101"/>
      <c r="G75" s="101"/>
    </row>
    <row r="76" spans="1:7" ht="15" customHeight="1">
      <c r="A76" s="100"/>
      <c r="B76" s="619" t="s">
        <v>98</v>
      </c>
      <c r="C76" s="619"/>
      <c r="D76" s="101" t="s">
        <v>85</v>
      </c>
      <c r="E76" s="101"/>
      <c r="F76" s="101"/>
      <c r="G76" s="42">
        <f>E74*E75*F76</f>
        <v>0</v>
      </c>
    </row>
    <row r="77" spans="1:7" ht="15" customHeight="1">
      <c r="A77" s="100" t="s">
        <v>54</v>
      </c>
      <c r="B77" s="613" t="s">
        <v>99</v>
      </c>
      <c r="C77" s="613"/>
      <c r="D77" s="101"/>
      <c r="E77" s="101"/>
      <c r="F77" s="101"/>
      <c r="G77" s="101"/>
    </row>
    <row r="78" spans="1:7" ht="15" customHeight="1">
      <c r="A78" s="100"/>
      <c r="B78" s="619" t="s">
        <v>97</v>
      </c>
      <c r="C78" s="619"/>
      <c r="D78" s="101" t="s">
        <v>91</v>
      </c>
      <c r="E78" s="101"/>
      <c r="F78" s="101"/>
      <c r="G78" s="101"/>
    </row>
    <row r="79" spans="1:7" ht="15" customHeight="1">
      <c r="A79" s="100"/>
      <c r="B79" s="619" t="s">
        <v>100</v>
      </c>
      <c r="C79" s="619"/>
      <c r="D79" s="101" t="s">
        <v>101</v>
      </c>
      <c r="E79" s="43"/>
      <c r="F79" s="41"/>
      <c r="G79" s="42">
        <f>E78*E79*F79</f>
        <v>0</v>
      </c>
    </row>
    <row r="80" spans="1:7" ht="15" customHeight="1">
      <c r="A80" s="100"/>
      <c r="B80" s="619" t="s">
        <v>102</v>
      </c>
      <c r="C80" s="619"/>
      <c r="D80" s="101" t="s">
        <v>91</v>
      </c>
      <c r="E80" s="41"/>
      <c r="F80" s="44"/>
      <c r="G80" s="42">
        <f>E78*F80</f>
        <v>0</v>
      </c>
    </row>
    <row r="81" spans="1:7" ht="14.25" customHeight="1">
      <c r="A81" s="620"/>
      <c r="B81" s="620"/>
      <c r="C81" s="620"/>
      <c r="D81" s="102"/>
      <c r="E81" s="102"/>
      <c r="F81" s="102"/>
      <c r="G81" s="102"/>
    </row>
    <row r="82" spans="1:7" ht="14.25">
      <c r="A82" s="620" t="s">
        <v>103</v>
      </c>
      <c r="B82" s="620"/>
      <c r="C82" s="620"/>
      <c r="D82" s="102"/>
      <c r="E82" s="102"/>
      <c r="F82" s="102"/>
      <c r="G82" s="102"/>
    </row>
    <row r="83" spans="1:7" ht="15" customHeight="1">
      <c r="A83" s="100"/>
      <c r="B83" s="619" t="s">
        <v>97</v>
      </c>
      <c r="C83" s="619"/>
      <c r="D83" s="101" t="s">
        <v>91</v>
      </c>
      <c r="E83" s="101">
        <v>18</v>
      </c>
      <c r="F83" s="101"/>
      <c r="G83" s="101"/>
    </row>
    <row r="84" spans="1:7" ht="15" customHeight="1">
      <c r="A84" s="100"/>
      <c r="B84" s="619" t="s">
        <v>104</v>
      </c>
      <c r="C84" s="619"/>
      <c r="D84" s="101" t="s">
        <v>101</v>
      </c>
      <c r="E84" s="101">
        <v>1.35</v>
      </c>
      <c r="F84" s="101">
        <v>1.68</v>
      </c>
      <c r="G84" s="103">
        <f>E83*E84*F84</f>
        <v>40.824</v>
      </c>
    </row>
    <row r="85" spans="1:7" ht="14.25" customHeight="1">
      <c r="A85" s="100"/>
      <c r="B85" s="619" t="s">
        <v>105</v>
      </c>
      <c r="C85" s="619"/>
      <c r="D85" s="101" t="s">
        <v>85</v>
      </c>
      <c r="E85" s="101"/>
      <c r="F85" s="101">
        <v>11.8</v>
      </c>
      <c r="G85" s="103">
        <f>E83*F85</f>
        <v>212.4</v>
      </c>
    </row>
    <row r="86" spans="1:7" ht="15" customHeight="1">
      <c r="A86" s="620"/>
      <c r="B86" s="620"/>
      <c r="C86" s="620"/>
      <c r="D86" s="102"/>
      <c r="E86" s="102"/>
      <c r="F86" s="102"/>
      <c r="G86" s="102"/>
    </row>
    <row r="87" spans="1:7" ht="14.25">
      <c r="A87" s="620" t="s">
        <v>106</v>
      </c>
      <c r="B87" s="620"/>
      <c r="C87" s="620"/>
      <c r="D87" s="102"/>
      <c r="E87" s="102"/>
      <c r="F87" s="102"/>
      <c r="G87" s="102"/>
    </row>
    <row r="88" spans="1:7" ht="15" customHeight="1">
      <c r="A88" s="100"/>
      <c r="B88" s="619" t="s">
        <v>97</v>
      </c>
      <c r="C88" s="619"/>
      <c r="D88" s="101" t="s">
        <v>91</v>
      </c>
      <c r="E88" s="101">
        <v>8</v>
      </c>
      <c r="F88" s="101"/>
      <c r="G88" s="101"/>
    </row>
    <row r="89" spans="1:7" ht="15" customHeight="1">
      <c r="A89" s="100"/>
      <c r="B89" s="619" t="s">
        <v>104</v>
      </c>
      <c r="C89" s="619"/>
      <c r="D89" s="101" t="s">
        <v>101</v>
      </c>
      <c r="E89" s="101">
        <v>0.5</v>
      </c>
      <c r="F89" s="101">
        <v>1.68</v>
      </c>
      <c r="G89" s="103">
        <f>E88*E89*F89</f>
        <v>6.72</v>
      </c>
    </row>
    <row r="90" spans="1:7" ht="14.25" customHeight="1">
      <c r="A90" s="100"/>
      <c r="B90" s="619" t="s">
        <v>107</v>
      </c>
      <c r="C90" s="619"/>
      <c r="D90" s="101" t="s">
        <v>85</v>
      </c>
      <c r="E90" s="101"/>
      <c r="F90" s="101">
        <v>0.6</v>
      </c>
      <c r="G90" s="101">
        <f>E88*F90</f>
        <v>4.8</v>
      </c>
    </row>
    <row r="92" spans="1:7" ht="15.75">
      <c r="A92" s="620" t="s">
        <v>208</v>
      </c>
      <c r="B92" s="620"/>
      <c r="C92" s="620"/>
      <c r="D92" s="87"/>
      <c r="E92" s="87"/>
      <c r="F92" s="89"/>
      <c r="G92" s="89"/>
    </row>
    <row r="93" spans="1:7" ht="18.75" customHeight="1">
      <c r="A93" s="93"/>
      <c r="B93" s="621"/>
      <c r="C93" s="621"/>
      <c r="D93" s="84"/>
      <c r="E93" s="84"/>
      <c r="F93" s="84"/>
      <c r="G93" s="84"/>
    </row>
    <row r="94" spans="1:7" ht="14.25">
      <c r="A94" s="93"/>
      <c r="B94" s="621"/>
      <c r="C94" s="621"/>
      <c r="D94" s="84"/>
      <c r="E94" s="84"/>
      <c r="F94" s="84"/>
      <c r="G94" s="84"/>
    </row>
    <row r="95" spans="1:7" ht="14.25">
      <c r="A95" s="93"/>
      <c r="B95" s="587"/>
      <c r="C95" s="588"/>
      <c r="D95" s="84"/>
      <c r="E95" s="94"/>
      <c r="F95" s="84"/>
      <c r="G95" s="85">
        <f>SUM(G93:G94)</f>
        <v>0</v>
      </c>
    </row>
    <row r="96" spans="1:7" ht="14.25" customHeight="1">
      <c r="A96" s="84"/>
      <c r="B96" s="587" t="s">
        <v>108</v>
      </c>
      <c r="C96" s="588"/>
      <c r="D96" s="84"/>
      <c r="E96" s="94"/>
      <c r="F96" s="84"/>
      <c r="G96" s="85">
        <f>SUM(G70:G95)</f>
        <v>264.744</v>
      </c>
    </row>
    <row r="97" spans="1:7" ht="12.75">
      <c r="A97" s="104"/>
      <c r="B97" s="104"/>
      <c r="C97" s="104"/>
      <c r="D97" s="104"/>
      <c r="E97" s="104"/>
      <c r="F97" s="104"/>
      <c r="G97" s="104"/>
    </row>
    <row r="98" ht="15" thickBot="1">
      <c r="A98" s="76" t="s">
        <v>110</v>
      </c>
    </row>
    <row r="99" spans="1:7" ht="26.25" customHeight="1">
      <c r="A99" s="96" t="s">
        <v>37</v>
      </c>
      <c r="B99" s="105" t="s">
        <v>38</v>
      </c>
      <c r="C99" s="106"/>
      <c r="D99" s="77" t="s">
        <v>39</v>
      </c>
      <c r="E99" s="78" t="s">
        <v>207</v>
      </c>
      <c r="F99" s="78" t="s">
        <v>58</v>
      </c>
      <c r="G99" s="78" t="s">
        <v>59</v>
      </c>
    </row>
    <row r="100" spans="1:7" ht="15" customHeight="1">
      <c r="A100" s="84" t="s">
        <v>9</v>
      </c>
      <c r="B100" s="613" t="s">
        <v>111</v>
      </c>
      <c r="C100" s="613"/>
      <c r="D100" s="101" t="s">
        <v>91</v>
      </c>
      <c r="E100" s="101"/>
      <c r="F100" s="101"/>
      <c r="G100" s="84">
        <f>E100*F100</f>
        <v>0</v>
      </c>
    </row>
    <row r="101" spans="1:7" ht="15" customHeight="1">
      <c r="A101" s="84" t="s">
        <v>45</v>
      </c>
      <c r="B101" s="613" t="s">
        <v>112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14</v>
      </c>
      <c r="B102" s="613" t="s">
        <v>113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49</v>
      </c>
      <c r="B103" s="613" t="s">
        <v>94</v>
      </c>
      <c r="C103" s="613"/>
      <c r="D103" s="101"/>
      <c r="E103" s="101"/>
      <c r="F103" s="101"/>
      <c r="G103" s="101"/>
    </row>
    <row r="104" spans="1:7" ht="15" customHeight="1">
      <c r="A104" s="84"/>
      <c r="B104" s="619" t="s">
        <v>95</v>
      </c>
      <c r="C104" s="619"/>
      <c r="D104" s="101" t="s">
        <v>96</v>
      </c>
      <c r="E104" s="101">
        <v>1</v>
      </c>
      <c r="F104" s="101"/>
      <c r="G104" s="101"/>
    </row>
    <row r="105" spans="1:7" ht="15" customHeight="1">
      <c r="A105" s="84"/>
      <c r="B105" s="619" t="s">
        <v>97</v>
      </c>
      <c r="C105" s="619"/>
      <c r="D105" s="101" t="s">
        <v>91</v>
      </c>
      <c r="E105" s="101">
        <v>16</v>
      </c>
      <c r="F105" s="101"/>
      <c r="G105" s="101"/>
    </row>
    <row r="106" spans="1:7" ht="15" customHeight="1">
      <c r="A106" s="84"/>
      <c r="B106" s="619" t="s">
        <v>114</v>
      </c>
      <c r="C106" s="619"/>
      <c r="D106" s="101" t="s">
        <v>85</v>
      </c>
      <c r="E106" s="101"/>
      <c r="F106" s="101">
        <v>16.04</v>
      </c>
      <c r="G106" s="103">
        <f>E104*E105*F106</f>
        <v>256.64</v>
      </c>
    </row>
    <row r="107" spans="1:7" ht="15" customHeight="1">
      <c r="A107" s="84" t="s">
        <v>19</v>
      </c>
      <c r="B107" s="630" t="s">
        <v>115</v>
      </c>
      <c r="C107" s="630"/>
      <c r="D107" s="101"/>
      <c r="E107" s="101"/>
      <c r="F107" s="101"/>
      <c r="G107" s="101"/>
    </row>
    <row r="108" spans="1:7" ht="15" customHeight="1">
      <c r="A108" s="84"/>
      <c r="B108" s="619" t="s">
        <v>116</v>
      </c>
      <c r="C108" s="619"/>
      <c r="D108" s="101" t="s">
        <v>117</v>
      </c>
      <c r="E108" s="101"/>
      <c r="F108" s="101"/>
      <c r="G108" s="101"/>
    </row>
    <row r="109" spans="1:7" ht="15" customHeight="1">
      <c r="A109" s="84"/>
      <c r="B109" s="619" t="s">
        <v>118</v>
      </c>
      <c r="C109" s="619"/>
      <c r="D109" s="101" t="s">
        <v>85</v>
      </c>
      <c r="E109" s="101"/>
      <c r="F109" s="107"/>
      <c r="G109" s="103">
        <f>E108*E109*F109</f>
        <v>0</v>
      </c>
    </row>
    <row r="110" spans="1:7" ht="15" customHeight="1">
      <c r="A110" s="84" t="s">
        <v>54</v>
      </c>
      <c r="B110" s="630" t="s">
        <v>119</v>
      </c>
      <c r="C110" s="630"/>
      <c r="D110" s="101"/>
      <c r="E110" s="101"/>
      <c r="F110" s="101"/>
      <c r="G110" s="101"/>
    </row>
    <row r="111" spans="1:7" ht="15" customHeight="1">
      <c r="A111" s="84"/>
      <c r="B111" s="619" t="s">
        <v>120</v>
      </c>
      <c r="C111" s="619"/>
      <c r="D111" s="101" t="s">
        <v>117</v>
      </c>
      <c r="E111" s="101"/>
      <c r="F111" s="101"/>
      <c r="G111" s="101"/>
    </row>
    <row r="112" spans="1:7" ht="15" customHeight="1">
      <c r="A112" s="84"/>
      <c r="B112" s="619" t="s">
        <v>121</v>
      </c>
      <c r="C112" s="619"/>
      <c r="D112" s="101" t="s">
        <v>85</v>
      </c>
      <c r="E112" s="101"/>
      <c r="F112" s="101"/>
      <c r="G112" s="101">
        <f>E111*E112*F112</f>
        <v>0</v>
      </c>
    </row>
    <row r="113" spans="1:7" ht="15" customHeight="1">
      <c r="A113" s="84" t="s">
        <v>22</v>
      </c>
      <c r="B113" s="630" t="s">
        <v>99</v>
      </c>
      <c r="C113" s="630"/>
      <c r="D113" s="101"/>
      <c r="E113" s="101"/>
      <c r="F113" s="101"/>
      <c r="G113" s="101"/>
    </row>
    <row r="114" spans="1:7" ht="15" customHeight="1">
      <c r="A114" s="84"/>
      <c r="B114" s="619" t="s">
        <v>97</v>
      </c>
      <c r="C114" s="619"/>
      <c r="D114" s="101" t="s">
        <v>91</v>
      </c>
      <c r="E114" s="101">
        <v>16</v>
      </c>
      <c r="F114" s="101"/>
      <c r="G114" s="101"/>
    </row>
    <row r="115" spans="1:7" ht="15" customHeight="1">
      <c r="A115" s="84"/>
      <c r="B115" s="619" t="s">
        <v>102</v>
      </c>
      <c r="C115" s="619"/>
      <c r="D115" s="101" t="s">
        <v>85</v>
      </c>
      <c r="E115" s="101"/>
      <c r="F115" s="101">
        <v>3.71</v>
      </c>
      <c r="G115" s="103">
        <f>E114*F115</f>
        <v>59.36</v>
      </c>
    </row>
    <row r="116" spans="1:7" ht="14.25" customHeight="1">
      <c r="A116" s="84" t="s">
        <v>72</v>
      </c>
      <c r="B116" s="613" t="s">
        <v>122</v>
      </c>
      <c r="C116" s="613"/>
      <c r="D116" s="101" t="s">
        <v>91</v>
      </c>
      <c r="E116" s="101"/>
      <c r="F116" s="101"/>
      <c r="G116" s="101">
        <f>E116*F116</f>
        <v>0</v>
      </c>
    </row>
    <row r="117" spans="1:7" ht="14.25" customHeight="1">
      <c r="A117" s="84"/>
      <c r="B117" s="587" t="s">
        <v>123</v>
      </c>
      <c r="C117" s="588"/>
      <c r="D117" s="84"/>
      <c r="E117" s="94"/>
      <c r="F117" s="84"/>
      <c r="G117" s="85">
        <f>SUM(G100:G116)</f>
        <v>316</v>
      </c>
    </row>
    <row r="118" ht="14.25">
      <c r="A118" s="67"/>
    </row>
    <row r="119" ht="14.25">
      <c r="A119" s="76" t="s">
        <v>124</v>
      </c>
    </row>
    <row r="120" ht="15" thickBot="1">
      <c r="A120" s="76"/>
    </row>
    <row r="121" spans="1:9" ht="29.25" customHeight="1">
      <c r="A121" s="96" t="s">
        <v>37</v>
      </c>
      <c r="B121" s="105" t="s">
        <v>38</v>
      </c>
      <c r="C121" s="106"/>
      <c r="D121" s="77" t="s">
        <v>39</v>
      </c>
      <c r="E121" s="108" t="s">
        <v>207</v>
      </c>
      <c r="F121" s="78" t="s">
        <v>58</v>
      </c>
      <c r="G121" s="78" t="s">
        <v>59</v>
      </c>
      <c r="H121" s="109"/>
      <c r="I121" s="110"/>
    </row>
    <row r="122" spans="1:9" ht="15" customHeight="1">
      <c r="A122" s="84" t="s">
        <v>9</v>
      </c>
      <c r="B122" s="613" t="s">
        <v>125</v>
      </c>
      <c r="C122" s="613"/>
      <c r="D122" s="101" t="s">
        <v>96</v>
      </c>
      <c r="E122" s="101">
        <v>1</v>
      </c>
      <c r="F122" s="101"/>
      <c r="G122" s="101"/>
      <c r="H122" s="89"/>
      <c r="I122" s="110"/>
    </row>
    <row r="123" spans="1:9" ht="15" customHeight="1">
      <c r="A123" s="84" t="s">
        <v>45</v>
      </c>
      <c r="B123" s="613" t="s">
        <v>126</v>
      </c>
      <c r="C123" s="613"/>
      <c r="D123" s="101" t="s">
        <v>127</v>
      </c>
      <c r="E123" s="101">
        <v>50</v>
      </c>
      <c r="F123" s="101"/>
      <c r="G123" s="101"/>
      <c r="H123" s="89"/>
      <c r="I123" s="110"/>
    </row>
    <row r="124" spans="1:9" ht="26.25" customHeight="1">
      <c r="A124" s="84" t="s">
        <v>14</v>
      </c>
      <c r="B124" s="613" t="s">
        <v>128</v>
      </c>
      <c r="C124" s="613"/>
      <c r="D124" s="101" t="s">
        <v>129</v>
      </c>
      <c r="E124" s="101"/>
      <c r="F124" s="107"/>
      <c r="G124" s="103">
        <f>E122*E124*F124</f>
        <v>0</v>
      </c>
      <c r="H124" s="89"/>
      <c r="I124" s="110"/>
    </row>
    <row r="125" spans="1:9" ht="14.25" customHeight="1">
      <c r="A125" s="84" t="s">
        <v>49</v>
      </c>
      <c r="B125" s="613" t="s">
        <v>130</v>
      </c>
      <c r="C125" s="613"/>
      <c r="D125" s="101" t="s">
        <v>131</v>
      </c>
      <c r="E125" s="101"/>
      <c r="F125" s="101"/>
      <c r="G125" s="101"/>
      <c r="H125" s="89"/>
      <c r="I125" s="110"/>
    </row>
    <row r="126" spans="1:9" ht="15" customHeight="1">
      <c r="A126" s="84"/>
      <c r="B126" s="613" t="s">
        <v>132</v>
      </c>
      <c r="C126" s="613"/>
      <c r="D126" s="101" t="s">
        <v>131</v>
      </c>
      <c r="E126" s="101"/>
      <c r="F126" s="101"/>
      <c r="G126" s="101">
        <f>E126*F126</f>
        <v>0</v>
      </c>
      <c r="H126" s="89"/>
      <c r="I126" s="110"/>
    </row>
    <row r="127" spans="1:9" ht="15">
      <c r="A127" s="84"/>
      <c r="B127" s="613" t="s">
        <v>133</v>
      </c>
      <c r="C127" s="613"/>
      <c r="D127" s="101" t="s">
        <v>131</v>
      </c>
      <c r="E127" s="341">
        <f>6.6/100*E123</f>
        <v>3.3000000000000003</v>
      </c>
      <c r="F127" s="111">
        <v>15.83</v>
      </c>
      <c r="G127" s="103">
        <f>E127*F127</f>
        <v>52.239000000000004</v>
      </c>
      <c r="H127" s="89"/>
      <c r="I127" s="110"/>
    </row>
    <row r="128" spans="1:9" ht="15">
      <c r="A128" s="84"/>
      <c r="B128" s="613" t="s">
        <v>134</v>
      </c>
      <c r="C128" s="613"/>
      <c r="D128" s="101" t="s">
        <v>131</v>
      </c>
      <c r="E128" s="101"/>
      <c r="F128" s="101"/>
      <c r="G128" s="101">
        <f>E128*F128</f>
        <v>0</v>
      </c>
      <c r="H128" s="89"/>
      <c r="I128" s="110"/>
    </row>
    <row r="129" spans="1:9" ht="15">
      <c r="A129" s="84"/>
      <c r="B129" s="587" t="s">
        <v>135</v>
      </c>
      <c r="C129" s="588"/>
      <c r="D129" s="84"/>
      <c r="E129" s="94"/>
      <c r="F129" s="84"/>
      <c r="G129" s="85">
        <f>SUM(G122:G128)</f>
        <v>52.239000000000004</v>
      </c>
      <c r="H129" s="89"/>
      <c r="I129" s="110"/>
    </row>
    <row r="130" spans="1:9" ht="12.75">
      <c r="A130" s="104"/>
      <c r="B130" s="104"/>
      <c r="C130" s="104"/>
      <c r="D130" s="104"/>
      <c r="E130" s="104"/>
      <c r="F130" s="104"/>
      <c r="G130" s="104"/>
      <c r="H130" s="104"/>
      <c r="I130" s="104"/>
    </row>
    <row r="131" ht="15" thickBot="1">
      <c r="A131" s="76" t="s">
        <v>136</v>
      </c>
    </row>
    <row r="132" spans="1:7" ht="28.5" customHeight="1">
      <c r="A132" s="96" t="s">
        <v>37</v>
      </c>
      <c r="B132" s="105" t="s">
        <v>38</v>
      </c>
      <c r="C132" s="106"/>
      <c r="D132" s="78" t="s">
        <v>39</v>
      </c>
      <c r="E132" s="78" t="s">
        <v>207</v>
      </c>
      <c r="F132" s="78" t="s">
        <v>58</v>
      </c>
      <c r="G132" s="78" t="s">
        <v>59</v>
      </c>
    </row>
    <row r="133" spans="1:7" ht="14.25" customHeight="1">
      <c r="A133" s="84" t="s">
        <v>9</v>
      </c>
      <c r="B133" s="613" t="s">
        <v>371</v>
      </c>
      <c r="C133" s="613"/>
      <c r="D133" s="84" t="s">
        <v>138</v>
      </c>
      <c r="E133" s="115">
        <v>3</v>
      </c>
      <c r="F133" s="101"/>
      <c r="G133" s="101"/>
    </row>
    <row r="134" spans="1:7" ht="14.25" customHeight="1">
      <c r="A134" s="84" t="s">
        <v>45</v>
      </c>
      <c r="B134" s="613" t="s">
        <v>139</v>
      </c>
      <c r="C134" s="613"/>
      <c r="D134" s="622"/>
      <c r="E134" s="622"/>
      <c r="F134" s="622"/>
      <c r="G134" s="622"/>
    </row>
    <row r="135" spans="1:7" ht="14.25" customHeight="1">
      <c r="A135" s="84" t="s">
        <v>14</v>
      </c>
      <c r="B135" s="613" t="s">
        <v>140</v>
      </c>
      <c r="C135" s="613"/>
      <c r="D135" s="622"/>
      <c r="E135" s="622"/>
      <c r="F135" s="622"/>
      <c r="G135" s="622"/>
    </row>
    <row r="136" spans="1:7" ht="15" customHeight="1">
      <c r="A136" s="84" t="s">
        <v>49</v>
      </c>
      <c r="B136" s="613" t="s">
        <v>141</v>
      </c>
      <c r="C136" s="613"/>
      <c r="D136" s="84" t="s">
        <v>138</v>
      </c>
      <c r="E136" s="101">
        <v>1</v>
      </c>
      <c r="F136" s="101">
        <v>25</v>
      </c>
      <c r="G136" s="103">
        <f>E136*F136*E133</f>
        <v>75</v>
      </c>
    </row>
    <row r="137" spans="1:7" ht="15" customHeight="1">
      <c r="A137" s="84" t="s">
        <v>19</v>
      </c>
      <c r="B137" s="613" t="s">
        <v>142</v>
      </c>
      <c r="C137" s="613"/>
      <c r="D137" s="84" t="s">
        <v>138</v>
      </c>
      <c r="E137" s="101">
        <v>2</v>
      </c>
      <c r="F137" s="101">
        <v>150</v>
      </c>
      <c r="G137" s="101">
        <f>E137*F137*E133</f>
        <v>900</v>
      </c>
    </row>
    <row r="138" spans="1:7" ht="15" customHeight="1">
      <c r="A138" s="84" t="s">
        <v>54</v>
      </c>
      <c r="B138" s="613" t="s">
        <v>143</v>
      </c>
      <c r="C138" s="613"/>
      <c r="D138" s="84" t="s">
        <v>85</v>
      </c>
      <c r="E138" s="101"/>
      <c r="F138" s="101"/>
      <c r="G138" s="101">
        <f>E133*F138</f>
        <v>0</v>
      </c>
    </row>
    <row r="139" spans="1:7" ht="15" customHeight="1">
      <c r="A139" s="84" t="s">
        <v>22</v>
      </c>
      <c r="B139" s="613" t="s">
        <v>144</v>
      </c>
      <c r="C139" s="613"/>
      <c r="D139" s="84" t="s">
        <v>85</v>
      </c>
      <c r="E139" s="101"/>
      <c r="F139" s="101"/>
      <c r="G139" s="101">
        <f>E133*F139</f>
        <v>0</v>
      </c>
    </row>
    <row r="140" spans="1:7" ht="15" customHeight="1">
      <c r="A140" s="84" t="s">
        <v>72</v>
      </c>
      <c r="B140" s="613" t="s">
        <v>145</v>
      </c>
      <c r="C140" s="613"/>
      <c r="D140" s="84" t="s">
        <v>85</v>
      </c>
      <c r="E140" s="101"/>
      <c r="F140" s="101"/>
      <c r="G140" s="101">
        <f>E133*F140</f>
        <v>0</v>
      </c>
    </row>
    <row r="141" spans="1:7" ht="15" customHeight="1">
      <c r="A141" s="84" t="s">
        <v>26</v>
      </c>
      <c r="B141" s="613" t="s">
        <v>146</v>
      </c>
      <c r="C141" s="613"/>
      <c r="D141" s="84" t="s">
        <v>85</v>
      </c>
      <c r="E141" s="101"/>
      <c r="F141" s="101"/>
      <c r="G141" s="101">
        <f>F141</f>
        <v>0</v>
      </c>
    </row>
    <row r="142" spans="1:7" ht="14.25">
      <c r="A142" s="84"/>
      <c r="B142" s="587" t="s">
        <v>147</v>
      </c>
      <c r="C142" s="588"/>
      <c r="D142" s="84"/>
      <c r="E142" s="94"/>
      <c r="F142" s="84"/>
      <c r="G142" s="85">
        <f>SUM(G136:G141)</f>
        <v>975</v>
      </c>
    </row>
    <row r="143" ht="14.25">
      <c r="A143" s="67"/>
    </row>
    <row r="144" ht="14.25">
      <c r="A144" s="67"/>
    </row>
    <row r="145" ht="14.25">
      <c r="A145" s="76" t="s">
        <v>148</v>
      </c>
    </row>
    <row r="146" ht="15" thickBot="1">
      <c r="A146" s="76"/>
    </row>
    <row r="147" spans="1:7" ht="28.5" customHeight="1">
      <c r="A147" s="96" t="s">
        <v>37</v>
      </c>
      <c r="B147" s="598" t="s">
        <v>38</v>
      </c>
      <c r="C147" s="599"/>
      <c r="D147" s="77" t="s">
        <v>39</v>
      </c>
      <c r="E147" s="78" t="s">
        <v>207</v>
      </c>
      <c r="F147" s="78" t="s">
        <v>58</v>
      </c>
      <c r="G147" s="78" t="s">
        <v>59</v>
      </c>
    </row>
    <row r="148" spans="1:7" ht="14.25" customHeight="1">
      <c r="A148" s="84" t="s">
        <v>9</v>
      </c>
      <c r="B148" s="613" t="s">
        <v>149</v>
      </c>
      <c r="C148" s="613"/>
      <c r="D148" s="84" t="s">
        <v>85</v>
      </c>
      <c r="E148" s="101"/>
      <c r="F148" s="101"/>
      <c r="G148" s="101">
        <v>100</v>
      </c>
    </row>
    <row r="149" spans="1:7" ht="14.25" customHeight="1">
      <c r="A149" s="84" t="s">
        <v>45</v>
      </c>
      <c r="B149" s="613" t="s">
        <v>150</v>
      </c>
      <c r="C149" s="613"/>
      <c r="D149" s="84" t="s">
        <v>85</v>
      </c>
      <c r="E149" s="101"/>
      <c r="F149" s="101"/>
      <c r="G149" s="101">
        <v>100</v>
      </c>
    </row>
    <row r="150" spans="1:7" ht="15" customHeight="1">
      <c r="A150" s="84" t="s">
        <v>14</v>
      </c>
      <c r="B150" s="613" t="s">
        <v>274</v>
      </c>
      <c r="C150" s="613"/>
      <c r="D150" s="84" t="s">
        <v>96</v>
      </c>
      <c r="E150" s="107">
        <f>5/12</f>
        <v>0.4166666666666667</v>
      </c>
      <c r="F150" s="101">
        <v>271.78</v>
      </c>
      <c r="G150" s="103">
        <f>E150*F150</f>
        <v>113.24166666666666</v>
      </c>
    </row>
    <row r="151" spans="1:7" ht="14.25">
      <c r="A151" s="84" t="s">
        <v>49</v>
      </c>
      <c r="B151" s="613" t="s">
        <v>372</v>
      </c>
      <c r="C151" s="613"/>
      <c r="D151" s="84" t="s">
        <v>96</v>
      </c>
      <c r="E151" s="107">
        <v>1</v>
      </c>
      <c r="F151" s="101">
        <v>14</v>
      </c>
      <c r="G151" s="103">
        <f>E151*F151</f>
        <v>14</v>
      </c>
    </row>
    <row r="152" spans="1:7" ht="15" customHeight="1">
      <c r="A152" s="84" t="s">
        <v>19</v>
      </c>
      <c r="B152" s="613" t="s">
        <v>153</v>
      </c>
      <c r="C152" s="613"/>
      <c r="D152" s="84"/>
      <c r="E152" s="101"/>
      <c r="F152" s="101"/>
      <c r="G152" s="101">
        <f>E152*F152</f>
        <v>0</v>
      </c>
    </row>
    <row r="153" spans="1:7" ht="15" customHeight="1">
      <c r="A153" s="84" t="s">
        <v>54</v>
      </c>
      <c r="B153" s="613" t="s">
        <v>154</v>
      </c>
      <c r="C153" s="613"/>
      <c r="D153" s="84"/>
      <c r="E153" s="101"/>
      <c r="F153" s="101"/>
      <c r="G153" s="101"/>
    </row>
    <row r="154" spans="1:7" ht="15" customHeight="1">
      <c r="A154" s="84" t="s">
        <v>22</v>
      </c>
      <c r="B154" s="613" t="s">
        <v>155</v>
      </c>
      <c r="C154" s="613"/>
      <c r="D154" s="84"/>
      <c r="E154" s="101"/>
      <c r="F154" s="101"/>
      <c r="G154" s="101"/>
    </row>
    <row r="155" spans="1:7" ht="15" customHeight="1">
      <c r="A155" s="84" t="s">
        <v>72</v>
      </c>
      <c r="B155" s="613" t="s">
        <v>156</v>
      </c>
      <c r="C155" s="613"/>
      <c r="D155" s="84"/>
      <c r="E155" s="101"/>
      <c r="F155" s="101"/>
      <c r="G155" s="101">
        <f>E155*F155</f>
        <v>0</v>
      </c>
    </row>
    <row r="156" spans="1:7" ht="14.25" customHeight="1">
      <c r="A156" s="84" t="s">
        <v>26</v>
      </c>
      <c r="B156" s="613" t="s">
        <v>157</v>
      </c>
      <c r="C156" s="613"/>
      <c r="D156" s="84" t="s">
        <v>85</v>
      </c>
      <c r="E156" s="101"/>
      <c r="F156" s="101"/>
      <c r="G156" s="101"/>
    </row>
    <row r="157" spans="1:7" ht="15" customHeight="1">
      <c r="A157" s="84"/>
      <c r="B157" s="587" t="s">
        <v>158</v>
      </c>
      <c r="C157" s="588"/>
      <c r="D157" s="84"/>
      <c r="E157" s="94"/>
      <c r="F157" s="84"/>
      <c r="G157" s="85">
        <f>SUM(G148:G156)</f>
        <v>327.2416666666667</v>
      </c>
    </row>
    <row r="158" ht="14.25">
      <c r="A158" s="67"/>
    </row>
    <row r="159" ht="14.25">
      <c r="A159" s="76" t="s">
        <v>159</v>
      </c>
    </row>
    <row r="160" ht="15" thickBot="1">
      <c r="A160" s="76"/>
    </row>
    <row r="161" spans="1:7" ht="28.5" customHeight="1">
      <c r="A161" s="623" t="s">
        <v>37</v>
      </c>
      <c r="B161" s="598" t="s">
        <v>38</v>
      </c>
      <c r="C161" s="599"/>
      <c r="D161" s="77" t="s">
        <v>39</v>
      </c>
      <c r="E161" s="78" t="s">
        <v>207</v>
      </c>
      <c r="F161" s="78" t="s">
        <v>58</v>
      </c>
      <c r="G161" s="78" t="s">
        <v>59</v>
      </c>
    </row>
    <row r="162" spans="1:7" ht="15" customHeight="1">
      <c r="A162" s="624"/>
      <c r="B162" s="600"/>
      <c r="C162" s="612"/>
      <c r="D162" s="112"/>
      <c r="E162" s="113"/>
      <c r="F162" s="113"/>
      <c r="G162" s="113"/>
    </row>
    <row r="163" spans="1:7" ht="15" customHeight="1">
      <c r="A163" s="84" t="s">
        <v>9</v>
      </c>
      <c r="B163" s="622" t="s">
        <v>160</v>
      </c>
      <c r="C163" s="622"/>
      <c r="D163" s="84" t="s">
        <v>85</v>
      </c>
      <c r="E163" s="84"/>
      <c r="F163" s="84"/>
      <c r="G163" s="84">
        <f>E163*F163</f>
        <v>0</v>
      </c>
    </row>
    <row r="164" spans="1:7" ht="15" customHeight="1">
      <c r="A164" s="84"/>
      <c r="B164" s="618"/>
      <c r="C164" s="618"/>
      <c r="D164" s="84"/>
      <c r="E164" s="84"/>
      <c r="F164" s="84"/>
      <c r="G164" s="84"/>
    </row>
    <row r="165" spans="1:7" ht="15" customHeight="1">
      <c r="A165" s="84"/>
      <c r="B165" s="587" t="s">
        <v>161</v>
      </c>
      <c r="C165" s="588"/>
      <c r="D165" s="84"/>
      <c r="E165" s="84"/>
      <c r="F165" s="84"/>
      <c r="G165" s="84">
        <f>SUM(G163:G164)</f>
        <v>0</v>
      </c>
    </row>
    <row r="166" ht="15" customHeight="1">
      <c r="A166" s="67"/>
    </row>
    <row r="167" ht="14.25">
      <c r="A167" s="76" t="s">
        <v>162</v>
      </c>
    </row>
    <row r="168" ht="15" thickBot="1">
      <c r="A168" s="76"/>
    </row>
    <row r="169" spans="1:7" ht="28.5" customHeight="1">
      <c r="A169" s="96" t="s">
        <v>37</v>
      </c>
      <c r="B169" s="598" t="s">
        <v>38</v>
      </c>
      <c r="C169" s="599"/>
      <c r="D169" s="77" t="s">
        <v>39</v>
      </c>
      <c r="E169" s="78" t="s">
        <v>207</v>
      </c>
      <c r="F169" s="78" t="s">
        <v>58</v>
      </c>
      <c r="G169" s="78" t="s">
        <v>59</v>
      </c>
    </row>
    <row r="170" spans="1:7" ht="14.25" customHeight="1">
      <c r="A170" s="84" t="s">
        <v>9</v>
      </c>
      <c r="B170" s="613" t="s">
        <v>163</v>
      </c>
      <c r="C170" s="613"/>
      <c r="D170" s="84"/>
      <c r="E170" s="84"/>
      <c r="F170" s="84"/>
      <c r="G170" s="84"/>
    </row>
    <row r="171" spans="1:7" ht="14.25" customHeight="1">
      <c r="A171" s="84"/>
      <c r="B171" s="613" t="s">
        <v>164</v>
      </c>
      <c r="C171" s="613"/>
      <c r="D171" s="84" t="s">
        <v>165</v>
      </c>
      <c r="E171" s="101" t="s">
        <v>373</v>
      </c>
      <c r="F171" s="101">
        <v>77</v>
      </c>
      <c r="G171" s="101">
        <f>2*F171</f>
        <v>154</v>
      </c>
    </row>
    <row r="172" spans="1:7" ht="14.25" customHeight="1">
      <c r="A172" s="84"/>
      <c r="B172" s="613" t="s">
        <v>167</v>
      </c>
      <c r="C172" s="613"/>
      <c r="D172" s="84" t="s">
        <v>165</v>
      </c>
      <c r="E172" s="101" t="s">
        <v>373</v>
      </c>
      <c r="F172" s="101">
        <v>77</v>
      </c>
      <c r="G172" s="101">
        <f>2*F172</f>
        <v>154</v>
      </c>
    </row>
    <row r="173" spans="1:7" ht="14.25" customHeight="1">
      <c r="A173" s="84"/>
      <c r="B173" s="613" t="s">
        <v>168</v>
      </c>
      <c r="C173" s="613"/>
      <c r="D173" s="84" t="s">
        <v>165</v>
      </c>
      <c r="E173" s="101"/>
      <c r="F173" s="101"/>
      <c r="G173" s="101">
        <f>5*F173</f>
        <v>0</v>
      </c>
    </row>
    <row r="174" spans="1:7" ht="29.25" customHeight="1">
      <c r="A174" s="84" t="s">
        <v>45</v>
      </c>
      <c r="B174" s="613" t="s">
        <v>170</v>
      </c>
      <c r="C174" s="613"/>
      <c r="D174" s="84" t="s">
        <v>165</v>
      </c>
      <c r="E174" s="101"/>
      <c r="F174" s="101"/>
      <c r="G174" s="101">
        <f>E174*F174</f>
        <v>0</v>
      </c>
    </row>
    <row r="175" spans="1:7" ht="15" customHeight="1">
      <c r="A175" s="84" t="s">
        <v>14</v>
      </c>
      <c r="B175" s="613" t="s">
        <v>171</v>
      </c>
      <c r="C175" s="613"/>
      <c r="D175" s="84" t="s">
        <v>85</v>
      </c>
      <c r="E175" s="101"/>
      <c r="F175" s="101"/>
      <c r="G175" s="101">
        <f>E175*F175</f>
        <v>0</v>
      </c>
    </row>
    <row r="176" spans="1:9" ht="15" customHeight="1">
      <c r="A176" s="84" t="s">
        <v>49</v>
      </c>
      <c r="B176" s="613" t="s">
        <v>172</v>
      </c>
      <c r="C176" s="613"/>
      <c r="D176" s="84" t="s">
        <v>91</v>
      </c>
      <c r="E176" s="101"/>
      <c r="F176" s="160"/>
      <c r="G176" s="156">
        <f>30/60*F176</f>
        <v>0</v>
      </c>
      <c r="H176" s="119"/>
      <c r="I176" s="119"/>
    </row>
    <row r="177" spans="1:7" ht="15" customHeight="1">
      <c r="A177" s="84" t="s">
        <v>19</v>
      </c>
      <c r="B177" s="613" t="s">
        <v>174</v>
      </c>
      <c r="C177" s="613"/>
      <c r="D177" s="84" t="s">
        <v>43</v>
      </c>
      <c r="E177" s="101"/>
      <c r="F177" s="107"/>
      <c r="G177" s="103">
        <f>1*F177</f>
        <v>0</v>
      </c>
    </row>
    <row r="178" spans="1:9" ht="14.25" customHeight="1">
      <c r="A178" s="84" t="s">
        <v>54</v>
      </c>
      <c r="B178" s="613" t="s">
        <v>175</v>
      </c>
      <c r="C178" s="613"/>
      <c r="D178" s="84" t="s">
        <v>43</v>
      </c>
      <c r="E178" s="235"/>
      <c r="F178" s="322"/>
      <c r="G178" s="290">
        <f>2/60*F178</f>
        <v>0</v>
      </c>
      <c r="H178" s="243"/>
      <c r="I178" s="325"/>
    </row>
    <row r="179" spans="1:7" ht="14.25" customHeight="1">
      <c r="A179" s="84" t="s">
        <v>22</v>
      </c>
      <c r="B179" s="613" t="s">
        <v>176</v>
      </c>
      <c r="C179" s="613"/>
      <c r="D179" s="84" t="s">
        <v>43</v>
      </c>
      <c r="E179" s="101"/>
      <c r="F179" s="101"/>
      <c r="G179" s="101">
        <f>E179*F179</f>
        <v>0</v>
      </c>
    </row>
    <row r="180" spans="1:7" ht="15" customHeight="1">
      <c r="A180" s="84" t="s">
        <v>72</v>
      </c>
      <c r="B180" s="613" t="s">
        <v>209</v>
      </c>
      <c r="C180" s="613"/>
      <c r="D180" s="84" t="s">
        <v>85</v>
      </c>
      <c r="E180" s="101"/>
      <c r="F180" s="101"/>
      <c r="G180" s="101">
        <f>E180*F180</f>
        <v>0</v>
      </c>
    </row>
    <row r="181" spans="1:7" ht="15" customHeight="1">
      <c r="A181" s="84"/>
      <c r="B181" s="587" t="s">
        <v>177</v>
      </c>
      <c r="C181" s="588"/>
      <c r="D181" s="84"/>
      <c r="E181" s="84"/>
      <c r="F181" s="84"/>
      <c r="G181" s="85">
        <f>SUM(G171:G180)</f>
        <v>308</v>
      </c>
    </row>
    <row r="182" ht="13.5" customHeight="1">
      <c r="A182" s="67"/>
    </row>
    <row r="183" ht="14.25">
      <c r="A183" s="76" t="s">
        <v>178</v>
      </c>
    </row>
    <row r="184" ht="15" thickBot="1">
      <c r="A184" s="76"/>
    </row>
    <row r="185" spans="1:7" ht="28.5" customHeight="1">
      <c r="A185" s="96" t="s">
        <v>37</v>
      </c>
      <c r="B185" s="598" t="s">
        <v>38</v>
      </c>
      <c r="C185" s="599"/>
      <c r="D185" s="77" t="s">
        <v>39</v>
      </c>
      <c r="E185" s="78" t="s">
        <v>207</v>
      </c>
      <c r="F185" s="78" t="s">
        <v>58</v>
      </c>
      <c r="G185" s="78" t="s">
        <v>59</v>
      </c>
    </row>
    <row r="186" spans="1:7" ht="15" customHeight="1">
      <c r="A186" s="84" t="s">
        <v>9</v>
      </c>
      <c r="B186" s="613" t="s">
        <v>179</v>
      </c>
      <c r="C186" s="613"/>
      <c r="D186" s="84" t="s">
        <v>180</v>
      </c>
      <c r="E186" s="101"/>
      <c r="F186" s="101"/>
      <c r="G186" s="101">
        <f>E186*F186</f>
        <v>0</v>
      </c>
    </row>
    <row r="187" spans="1:7" ht="15" customHeight="1">
      <c r="A187" s="84" t="s">
        <v>45</v>
      </c>
      <c r="B187" s="613" t="s">
        <v>181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 t="s">
        <v>14</v>
      </c>
      <c r="B188" s="613" t="s">
        <v>182</v>
      </c>
      <c r="C188" s="613"/>
      <c r="D188" s="84" t="s">
        <v>180</v>
      </c>
      <c r="E188" s="101"/>
      <c r="F188" s="101"/>
      <c r="G188" s="101">
        <f>E188*F188</f>
        <v>0</v>
      </c>
    </row>
    <row r="189" spans="1:7" ht="15" customHeight="1">
      <c r="A189" s="84"/>
      <c r="B189" s="587" t="s">
        <v>183</v>
      </c>
      <c r="C189" s="588"/>
      <c r="D189" s="84"/>
      <c r="E189" s="84"/>
      <c r="F189" s="84"/>
      <c r="G189" s="85">
        <f>SUM(G186:G188)</f>
        <v>0</v>
      </c>
    </row>
    <row r="190" ht="14.25">
      <c r="A190" s="67"/>
    </row>
    <row r="191" ht="14.25">
      <c r="A191" s="67"/>
    </row>
    <row r="192" ht="14.25">
      <c r="A192" s="67" t="s">
        <v>184</v>
      </c>
    </row>
    <row r="193" ht="15" thickBot="1">
      <c r="A193" s="67"/>
    </row>
    <row r="194" spans="1:7" ht="28.5" customHeight="1">
      <c r="A194" s="96" t="s">
        <v>37</v>
      </c>
      <c r="B194" s="598" t="s">
        <v>38</v>
      </c>
      <c r="C194" s="599"/>
      <c r="D194" s="77" t="s">
        <v>39</v>
      </c>
      <c r="E194" s="78" t="s">
        <v>210</v>
      </c>
      <c r="F194" s="78" t="s">
        <v>58</v>
      </c>
      <c r="G194" s="78" t="s">
        <v>59</v>
      </c>
    </row>
    <row r="195" spans="1:7" ht="15" customHeight="1">
      <c r="A195" s="84" t="s">
        <v>9</v>
      </c>
      <c r="B195" s="613" t="s">
        <v>185</v>
      </c>
      <c r="C195" s="613"/>
      <c r="D195" s="84" t="s">
        <v>85</v>
      </c>
      <c r="E195" s="101">
        <v>0.75</v>
      </c>
      <c r="F195" s="101">
        <v>32.6</v>
      </c>
      <c r="G195" s="103">
        <f>E195*F195</f>
        <v>24.450000000000003</v>
      </c>
    </row>
    <row r="196" spans="1:7" ht="14.25" customHeight="1">
      <c r="A196" s="84" t="s">
        <v>45</v>
      </c>
      <c r="B196" s="613" t="s">
        <v>186</v>
      </c>
      <c r="C196" s="613"/>
      <c r="D196" s="84" t="s">
        <v>85</v>
      </c>
      <c r="E196" s="114"/>
      <c r="F196" s="44">
        <f>(1151.55+210.41+5.7+145.58)*1.2</f>
        <v>1815.888</v>
      </c>
      <c r="G196" s="103">
        <f>F196*E195</f>
        <v>1361.916</v>
      </c>
    </row>
    <row r="197" spans="1:7" ht="14.25" customHeight="1">
      <c r="A197" s="84" t="s">
        <v>14</v>
      </c>
      <c r="B197" s="613" t="s">
        <v>187</v>
      </c>
      <c r="C197" s="613"/>
      <c r="D197" s="84" t="s">
        <v>85</v>
      </c>
      <c r="E197" s="114"/>
      <c r="F197" s="114"/>
      <c r="G197" s="114"/>
    </row>
    <row r="198" spans="1:7" ht="14.25">
      <c r="A198" s="84" t="s">
        <v>49</v>
      </c>
      <c r="B198" s="613" t="s">
        <v>188</v>
      </c>
      <c r="C198" s="613"/>
      <c r="D198" s="84" t="s">
        <v>85</v>
      </c>
      <c r="E198" s="114"/>
      <c r="F198" s="114"/>
      <c r="G198" s="114"/>
    </row>
    <row r="199" spans="1:7" ht="15" customHeight="1">
      <c r="A199" s="84" t="s">
        <v>19</v>
      </c>
      <c r="B199" s="613" t="s">
        <v>189</v>
      </c>
      <c r="C199" s="613"/>
      <c r="D199" s="84" t="s">
        <v>85</v>
      </c>
      <c r="E199" s="114"/>
      <c r="F199" s="114"/>
      <c r="G199" s="114"/>
    </row>
    <row r="200" spans="1:10" ht="15" customHeight="1">
      <c r="A200" s="84" t="s">
        <v>54</v>
      </c>
      <c r="B200" s="613" t="s">
        <v>190</v>
      </c>
      <c r="C200" s="613"/>
      <c r="D200" s="84" t="s">
        <v>101</v>
      </c>
      <c r="E200" s="241">
        <f>J200/F200</f>
        <v>27.1122375502575</v>
      </c>
      <c r="F200" s="43">
        <v>1.68</v>
      </c>
      <c r="G200" s="240">
        <f>E200*F200</f>
        <v>45.5485590844326</v>
      </c>
      <c r="H200" s="54"/>
      <c r="I200" s="448">
        <f>1288300*0.4/8485.23</f>
        <v>60.7314121125768</v>
      </c>
      <c r="J200" s="448">
        <f>I200*E195</f>
        <v>45.5485590844326</v>
      </c>
    </row>
    <row r="201" spans="1:10" ht="15" customHeight="1">
      <c r="A201" s="84" t="s">
        <v>22</v>
      </c>
      <c r="B201" s="613" t="s">
        <v>191</v>
      </c>
      <c r="C201" s="613"/>
      <c r="D201" s="84" t="s">
        <v>192</v>
      </c>
      <c r="E201" s="446">
        <f>J201/F201</f>
        <v>0.15087453930809802</v>
      </c>
      <c r="F201" s="43">
        <f>987*1.2</f>
        <v>1184.3999999999999</v>
      </c>
      <c r="G201" s="240">
        <f>E201*F201</f>
        <v>178.69580435651127</v>
      </c>
      <c r="H201" s="54"/>
      <c r="I201" s="448">
        <f>2021700/8485.23</f>
        <v>238.26107247534836</v>
      </c>
      <c r="J201" s="448">
        <f>I201*E195</f>
        <v>178.69580435651127</v>
      </c>
    </row>
    <row r="202" spans="1:10" ht="15" customHeight="1">
      <c r="A202" s="84" t="s">
        <v>72</v>
      </c>
      <c r="B202" s="613" t="s">
        <v>193</v>
      </c>
      <c r="C202" s="613"/>
      <c r="D202" s="84" t="s">
        <v>85</v>
      </c>
      <c r="E202" s="447"/>
      <c r="F202" s="241">
        <f>(229000+16300)/8485.23</f>
        <v>28.909057267746427</v>
      </c>
      <c r="G202" s="240">
        <f>F202*E195</f>
        <v>21.68179295080982</v>
      </c>
      <c r="H202" s="54"/>
      <c r="I202" s="54"/>
      <c r="J202" s="54"/>
    </row>
    <row r="203" spans="1:10" ht="14.25" customHeight="1">
      <c r="A203" s="84" t="s">
        <v>26</v>
      </c>
      <c r="B203" s="613" t="s">
        <v>194</v>
      </c>
      <c r="C203" s="613"/>
      <c r="D203" s="84" t="s">
        <v>85</v>
      </c>
      <c r="E203" s="447"/>
      <c r="F203" s="43">
        <v>2693.4</v>
      </c>
      <c r="G203" s="240">
        <f>F203*E195</f>
        <v>2020.0500000000002</v>
      </c>
      <c r="H203" s="54"/>
      <c r="I203" s="54"/>
      <c r="J203" s="54"/>
    </row>
    <row r="204" spans="1:10" ht="15" customHeight="1">
      <c r="A204" s="84" t="s">
        <v>31</v>
      </c>
      <c r="B204" s="613" t="s">
        <v>195</v>
      </c>
      <c r="C204" s="613"/>
      <c r="D204" s="84" t="s">
        <v>85</v>
      </c>
      <c r="E204" s="447"/>
      <c r="F204" s="43">
        <v>300.6</v>
      </c>
      <c r="G204" s="240">
        <f>F204*E195</f>
        <v>225.45000000000002</v>
      </c>
      <c r="H204" s="54"/>
      <c r="I204" s="54"/>
      <c r="J204" s="54"/>
    </row>
    <row r="205" spans="1:10" ht="15" customHeight="1">
      <c r="A205" s="84" t="s">
        <v>79</v>
      </c>
      <c r="B205" s="613" t="s">
        <v>196</v>
      </c>
      <c r="C205" s="613"/>
      <c r="D205" s="84" t="s">
        <v>85</v>
      </c>
      <c r="E205" s="447"/>
      <c r="F205" s="43">
        <v>1242.8</v>
      </c>
      <c r="G205" s="240">
        <f>F205*E195</f>
        <v>932.0999999999999</v>
      </c>
      <c r="H205" s="54"/>
      <c r="I205" s="54"/>
      <c r="J205" s="54"/>
    </row>
    <row r="206" ht="14.25">
      <c r="A206" s="67"/>
    </row>
    <row r="207" ht="14.25">
      <c r="A207" s="67" t="s">
        <v>197</v>
      </c>
    </row>
    <row r="208" ht="15" thickBot="1">
      <c r="A208" s="76"/>
    </row>
    <row r="209" spans="1:7" ht="14.25" customHeight="1">
      <c r="A209" s="623" t="s">
        <v>37</v>
      </c>
      <c r="B209" s="598" t="s">
        <v>38</v>
      </c>
      <c r="C209" s="599"/>
      <c r="D209" s="77" t="s">
        <v>198</v>
      </c>
      <c r="E209" s="598" t="s">
        <v>59</v>
      </c>
      <c r="F209" s="616"/>
      <c r="G209" s="599"/>
    </row>
    <row r="210" spans="1:7" ht="14.25">
      <c r="A210" s="624"/>
      <c r="B210" s="600"/>
      <c r="C210" s="612"/>
      <c r="D210" s="112" t="s">
        <v>199</v>
      </c>
      <c r="E210" s="600"/>
      <c r="F210" s="617"/>
      <c r="G210" s="612"/>
    </row>
    <row r="211" spans="1:7" ht="15" customHeight="1">
      <c r="A211" s="84" t="s">
        <v>9</v>
      </c>
      <c r="B211" s="613" t="s">
        <v>200</v>
      </c>
      <c r="C211" s="613"/>
      <c r="D211" s="84" t="s">
        <v>85</v>
      </c>
      <c r="E211" s="614">
        <f>G44+G58+G62+G63+G96+G117+G129+G142+G157+G165+G181+G189</f>
        <v>4697.6795992004</v>
      </c>
      <c r="F211" s="615"/>
      <c r="G211" s="615"/>
    </row>
    <row r="212" spans="1:7" ht="15" customHeight="1">
      <c r="A212" s="84" t="s">
        <v>45</v>
      </c>
      <c r="B212" s="613" t="s">
        <v>201</v>
      </c>
      <c r="C212" s="613"/>
      <c r="D212" s="84" t="s">
        <v>85</v>
      </c>
      <c r="E212" s="614">
        <f>SUM(G195:G205)</f>
        <v>4809.892156391754</v>
      </c>
      <c r="F212" s="614"/>
      <c r="G212" s="614"/>
    </row>
    <row r="213" spans="1:7" ht="14.25">
      <c r="A213" s="84" t="s">
        <v>14</v>
      </c>
      <c r="B213" s="613" t="s">
        <v>202</v>
      </c>
      <c r="C213" s="613"/>
      <c r="D213" s="84" t="s">
        <v>85</v>
      </c>
      <c r="E213" s="614">
        <f>E211+E212</f>
        <v>9507.571755592155</v>
      </c>
      <c r="F213" s="614"/>
      <c r="G213" s="614"/>
    </row>
    <row r="214" spans="1:7" ht="15" customHeight="1">
      <c r="A214" s="84">
        <v>4</v>
      </c>
      <c r="B214" s="613" t="s">
        <v>203</v>
      </c>
      <c r="C214" s="613"/>
      <c r="D214" s="84" t="s">
        <v>85</v>
      </c>
      <c r="E214" s="611"/>
      <c r="F214" s="611"/>
      <c r="G214" s="611"/>
    </row>
    <row r="215" spans="1:7" ht="15" customHeight="1">
      <c r="A215" s="84" t="s">
        <v>19</v>
      </c>
      <c r="B215" s="613" t="s">
        <v>204</v>
      </c>
      <c r="C215" s="613"/>
      <c r="D215" s="84" t="s">
        <v>85</v>
      </c>
      <c r="E215" s="611">
        <f>E213-E214</f>
        <v>9507.571755592155</v>
      </c>
      <c r="F215" s="611"/>
      <c r="G215" s="611"/>
    </row>
    <row r="216" ht="14.25">
      <c r="A216" s="95"/>
    </row>
    <row r="217" ht="14.25">
      <c r="A217" s="95"/>
    </row>
    <row r="218" spans="2:3" ht="14.25">
      <c r="B218" s="116" t="s">
        <v>63</v>
      </c>
      <c r="C218" s="117"/>
    </row>
    <row r="219" ht="14.25">
      <c r="A219" s="95"/>
    </row>
    <row r="220" ht="14.25">
      <c r="B220" s="116" t="s">
        <v>206</v>
      </c>
    </row>
  </sheetData>
  <sheetProtection/>
  <mergeCells count="165">
    <mergeCell ref="A7:G7"/>
    <mergeCell ref="A8:G8"/>
    <mergeCell ref="A9:G9"/>
    <mergeCell ref="B27:G27"/>
    <mergeCell ref="D24:E24"/>
    <mergeCell ref="F16:G16"/>
    <mergeCell ref="F18:G18"/>
    <mergeCell ref="B66:C66"/>
    <mergeCell ref="B61:C61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15:G215"/>
    <mergeCell ref="B209:C210"/>
    <mergeCell ref="B211:C211"/>
    <mergeCell ref="B212:C212"/>
    <mergeCell ref="B213:C213"/>
    <mergeCell ref="B214:C214"/>
    <mergeCell ref="B215:C215"/>
    <mergeCell ref="E211:G211"/>
    <mergeCell ref="E212:G212"/>
    <mergeCell ref="E213:G213"/>
    <mergeCell ref="B202:C202"/>
    <mergeCell ref="E214:G214"/>
    <mergeCell ref="B203:C203"/>
    <mergeCell ref="B204:C204"/>
    <mergeCell ref="B205:C205"/>
    <mergeCell ref="E209:G210"/>
    <mergeCell ref="B196:C196"/>
    <mergeCell ref="B197:C197"/>
    <mergeCell ref="B198:C198"/>
    <mergeCell ref="B199:C199"/>
    <mergeCell ref="B200:C200"/>
    <mergeCell ref="B201:C201"/>
    <mergeCell ref="B164:C164"/>
    <mergeCell ref="B165:C165"/>
    <mergeCell ref="B169:C169"/>
    <mergeCell ref="B171:C171"/>
    <mergeCell ref="B185:C185"/>
    <mergeCell ref="B194:C194"/>
    <mergeCell ref="B189:C189"/>
    <mergeCell ref="B178:C178"/>
    <mergeCell ref="B181:C181"/>
    <mergeCell ref="B179:C179"/>
    <mergeCell ref="B180:C180"/>
    <mergeCell ref="B186:C186"/>
    <mergeCell ref="B187:C187"/>
    <mergeCell ref="B195:C195"/>
    <mergeCell ref="B173:C173"/>
    <mergeCell ref="B188:C188"/>
    <mergeCell ref="B157:C157"/>
    <mergeCell ref="B156:C156"/>
    <mergeCell ref="B155:C155"/>
    <mergeCell ref="B172:C172"/>
    <mergeCell ref="B175:C175"/>
    <mergeCell ref="B176:C176"/>
    <mergeCell ref="B177:C177"/>
    <mergeCell ref="B174:C174"/>
    <mergeCell ref="B170:C170"/>
    <mergeCell ref="B96:C96"/>
    <mergeCell ref="B88:C88"/>
    <mergeCell ref="B89:C89"/>
    <mergeCell ref="B148:C148"/>
    <mergeCell ref="B147:C147"/>
    <mergeCell ref="B138:C138"/>
    <mergeCell ref="B141:C141"/>
    <mergeCell ref="B117:C117"/>
    <mergeCell ref="B129:C129"/>
    <mergeCell ref="B73:C73"/>
    <mergeCell ref="B74:C74"/>
    <mergeCell ref="B75:C75"/>
    <mergeCell ref="B76:C76"/>
    <mergeCell ref="B77:C77"/>
    <mergeCell ref="B90:C90"/>
    <mergeCell ref="B154:C154"/>
    <mergeCell ref="A81:C81"/>
    <mergeCell ref="A82:C82"/>
    <mergeCell ref="B153:C153"/>
    <mergeCell ref="B152:C152"/>
    <mergeCell ref="B149:C149"/>
    <mergeCell ref="B150:C150"/>
    <mergeCell ref="B151:C151"/>
    <mergeCell ref="B93:C93"/>
    <mergeCell ref="B142:C142"/>
    <mergeCell ref="D135:G135"/>
    <mergeCell ref="B85:C85"/>
    <mergeCell ref="B83:C83"/>
    <mergeCell ref="B84:C84"/>
    <mergeCell ref="A86:C86"/>
    <mergeCell ref="A87:C87"/>
    <mergeCell ref="A92:C92"/>
    <mergeCell ref="B104:C104"/>
    <mergeCell ref="B105:C105"/>
    <mergeCell ref="B95:C95"/>
    <mergeCell ref="A47:A48"/>
    <mergeCell ref="D134:G134"/>
    <mergeCell ref="F47:F48"/>
    <mergeCell ref="G47:G48"/>
    <mergeCell ref="B79:C79"/>
    <mergeCell ref="B80:C80"/>
    <mergeCell ref="B69:C69"/>
    <mergeCell ref="B70:C70"/>
    <mergeCell ref="A68:C68"/>
    <mergeCell ref="A67:C67"/>
    <mergeCell ref="A209:A210"/>
    <mergeCell ref="B123:C123"/>
    <mergeCell ref="B124:C124"/>
    <mergeCell ref="B125:C125"/>
    <mergeCell ref="B126:C126"/>
    <mergeCell ref="B127:C127"/>
    <mergeCell ref="B140:C140"/>
    <mergeCell ref="A161:A162"/>
    <mergeCell ref="B161:C162"/>
    <mergeCell ref="B163:C163"/>
    <mergeCell ref="A33:A34"/>
    <mergeCell ref="B44:C44"/>
    <mergeCell ref="B62:C62"/>
    <mergeCell ref="B63:C63"/>
    <mergeCell ref="A40:A43"/>
    <mergeCell ref="B36:C36"/>
    <mergeCell ref="B37:C37"/>
    <mergeCell ref="B38:C38"/>
    <mergeCell ref="B39:C39"/>
    <mergeCell ref="B40:C40"/>
    <mergeCell ref="B71:C71"/>
    <mergeCell ref="B72:C72"/>
    <mergeCell ref="B78:C78"/>
    <mergeCell ref="B109:C109"/>
    <mergeCell ref="B94:C94"/>
    <mergeCell ref="B101:C101"/>
    <mergeCell ref="B102:C102"/>
    <mergeCell ref="B103:C103"/>
    <mergeCell ref="B100:C100"/>
    <mergeCell ref="B106:C106"/>
    <mergeCell ref="B113:C113"/>
    <mergeCell ref="B114:C114"/>
    <mergeCell ref="B115:C115"/>
    <mergeCell ref="B116:C116"/>
    <mergeCell ref="B107:C107"/>
    <mergeCell ref="B108:C108"/>
    <mergeCell ref="B111:C111"/>
    <mergeCell ref="B112:C112"/>
    <mergeCell ref="B110:C110"/>
    <mergeCell ref="B136:C136"/>
    <mergeCell ref="B137:C137"/>
    <mergeCell ref="B139:C139"/>
    <mergeCell ref="B122:C122"/>
    <mergeCell ref="B133:C133"/>
    <mergeCell ref="B134:C134"/>
    <mergeCell ref="B135:C135"/>
    <mergeCell ref="B128:C128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21"/>
  <sheetViews>
    <sheetView zoomScalePageLayoutView="0" workbookViewId="0" topLeftCell="A12">
      <selection activeCell="I213" sqref="I213"/>
    </sheetView>
  </sheetViews>
  <sheetFormatPr defaultColWidth="9.00390625" defaultRowHeight="12.75"/>
  <cols>
    <col min="1" max="1" width="5.625" style="65" customWidth="1"/>
    <col min="2" max="2" width="16.00390625" style="65" customWidth="1"/>
    <col min="3" max="3" width="33.875" style="65" customWidth="1"/>
    <col min="4" max="4" width="9.625" style="65" customWidth="1"/>
    <col min="5" max="5" width="10.375" style="65" customWidth="1"/>
    <col min="6" max="7" width="11.875" style="65" customWidth="1"/>
    <col min="8" max="16384" width="9.125" style="65" customWidth="1"/>
  </cols>
  <sheetData>
    <row r="1" spans="1:4" ht="18">
      <c r="A1" s="64" t="s">
        <v>0</v>
      </c>
      <c r="D1" s="64" t="s">
        <v>1</v>
      </c>
    </row>
    <row r="2" spans="1:4" ht="18">
      <c r="A2" s="64" t="s">
        <v>2</v>
      </c>
      <c r="D2" s="66" t="s">
        <v>3</v>
      </c>
    </row>
    <row r="3" ht="18">
      <c r="D3" s="66" t="s">
        <v>4</v>
      </c>
    </row>
    <row r="7" spans="1:7" ht="18">
      <c r="A7" s="589" t="s">
        <v>5</v>
      </c>
      <c r="B7" s="589"/>
      <c r="C7" s="589"/>
      <c r="D7" s="589"/>
      <c r="E7" s="589"/>
      <c r="F7" s="589"/>
      <c r="G7" s="589"/>
    </row>
    <row r="8" spans="1:7" ht="18">
      <c r="A8" s="590" t="s">
        <v>6</v>
      </c>
      <c r="B8" s="590"/>
      <c r="C8" s="590"/>
      <c r="D8" s="590"/>
      <c r="E8" s="590"/>
      <c r="F8" s="590"/>
      <c r="G8" s="590"/>
    </row>
    <row r="9" spans="1:7" ht="18">
      <c r="A9" s="589" t="s">
        <v>7</v>
      </c>
      <c r="B9" s="589"/>
      <c r="C9" s="589"/>
      <c r="D9" s="589"/>
      <c r="E9" s="589"/>
      <c r="F9" s="589"/>
      <c r="G9" s="589"/>
    </row>
    <row r="14" ht="14.25">
      <c r="A14" s="67" t="s">
        <v>8</v>
      </c>
    </row>
    <row r="15" ht="13.5" thickBot="1"/>
    <row r="16" spans="1:7" ht="42.75" customHeight="1" thickBot="1">
      <c r="A16" s="68" t="s">
        <v>9</v>
      </c>
      <c r="B16" s="69" t="s">
        <v>10</v>
      </c>
      <c r="C16" s="70" t="s">
        <v>307</v>
      </c>
      <c r="D16" s="596" t="s">
        <v>12</v>
      </c>
      <c r="E16" s="597"/>
      <c r="F16" s="596" t="s">
        <v>213</v>
      </c>
      <c r="G16" s="597"/>
    </row>
    <row r="17" ht="13.5" thickBot="1">
      <c r="A17" s="71"/>
    </row>
    <row r="18" spans="1:7" ht="43.5" customHeight="1" thickBot="1">
      <c r="A18" s="68" t="s">
        <v>14</v>
      </c>
      <c r="B18" s="69" t="s">
        <v>15</v>
      </c>
      <c r="C18" s="70" t="s">
        <v>358</v>
      </c>
      <c r="D18" s="596" t="s">
        <v>17</v>
      </c>
      <c r="E18" s="597"/>
      <c r="F18" s="596" t="s">
        <v>218</v>
      </c>
      <c r="G18" s="597"/>
    </row>
    <row r="19" ht="13.5" thickBot="1">
      <c r="A19" s="71"/>
    </row>
    <row r="20" spans="1:7" ht="43.5" customHeight="1" thickBot="1">
      <c r="A20" s="68" t="s">
        <v>19</v>
      </c>
      <c r="B20" s="69" t="s">
        <v>20</v>
      </c>
      <c r="C20" s="236" t="s">
        <v>312</v>
      </c>
      <c r="D20" s="596" t="s">
        <v>21</v>
      </c>
      <c r="E20" s="597"/>
      <c r="F20" s="596" t="s">
        <v>359</v>
      </c>
      <c r="G20" s="597"/>
    </row>
    <row r="21" ht="13.5" thickBot="1">
      <c r="A21" s="71"/>
    </row>
    <row r="22" spans="1:7" ht="43.5" customHeight="1" thickBot="1">
      <c r="A22" s="68" t="s">
        <v>22</v>
      </c>
      <c r="B22" s="69" t="s">
        <v>23</v>
      </c>
      <c r="C22" s="69" t="s">
        <v>308</v>
      </c>
      <c r="D22" s="596" t="s">
        <v>25</v>
      </c>
      <c r="E22" s="597"/>
      <c r="F22" s="596"/>
      <c r="G22" s="597"/>
    </row>
    <row r="23" ht="13.5" thickBot="1">
      <c r="A23" s="71"/>
    </row>
    <row r="24" spans="1:7" ht="29.25" customHeight="1" thickBot="1">
      <c r="A24" s="68" t="s">
        <v>26</v>
      </c>
      <c r="B24" s="69" t="s">
        <v>27</v>
      </c>
      <c r="C24" s="72" t="s">
        <v>255</v>
      </c>
      <c r="D24" s="594" t="s">
        <v>257</v>
      </c>
      <c r="E24" s="595"/>
      <c r="F24" s="594" t="s">
        <v>256</v>
      </c>
      <c r="G24" s="595"/>
    </row>
    <row r="25" ht="13.5" thickBot="1">
      <c r="A25" s="71"/>
    </row>
    <row r="26" spans="1:7" ht="15" customHeight="1" thickBot="1">
      <c r="A26" s="73" t="s">
        <v>31</v>
      </c>
      <c r="B26" s="74" t="s">
        <v>32</v>
      </c>
      <c r="C26" s="591"/>
      <c r="D26" s="592"/>
      <c r="E26" s="592"/>
      <c r="F26" s="592"/>
      <c r="G26" s="593"/>
    </row>
    <row r="27" spans="1:7" ht="15" thickBot="1">
      <c r="A27" s="75"/>
      <c r="B27" s="591"/>
      <c r="C27" s="592"/>
      <c r="D27" s="592"/>
      <c r="E27" s="592"/>
      <c r="F27" s="592"/>
      <c r="G27" s="593"/>
    </row>
    <row r="28" spans="1:7" ht="15" thickBot="1">
      <c r="A28" s="75"/>
      <c r="B28" s="591"/>
      <c r="C28" s="592"/>
      <c r="D28" s="592"/>
      <c r="E28" s="592"/>
      <c r="F28" s="592"/>
      <c r="G28" s="593"/>
    </row>
    <row r="30" ht="15" customHeight="1">
      <c r="A30" s="67" t="s">
        <v>35</v>
      </c>
    </row>
    <row r="31" ht="14.25">
      <c r="A31" s="67"/>
    </row>
    <row r="32" ht="15" thickBot="1">
      <c r="A32" s="76" t="s">
        <v>36</v>
      </c>
    </row>
    <row r="33" spans="1:7" ht="28.5">
      <c r="A33" s="623" t="s">
        <v>37</v>
      </c>
      <c r="B33" s="598" t="s">
        <v>38</v>
      </c>
      <c r="C33" s="599"/>
      <c r="D33" s="77" t="s">
        <v>39</v>
      </c>
      <c r="E33" s="78" t="s">
        <v>207</v>
      </c>
      <c r="F33" s="78" t="s">
        <v>40</v>
      </c>
      <c r="G33" s="78" t="s">
        <v>41</v>
      </c>
    </row>
    <row r="34" spans="1:7" ht="18.75" customHeight="1" thickBot="1">
      <c r="A34" s="626"/>
      <c r="B34" s="601"/>
      <c r="C34" s="602"/>
      <c r="D34" s="79"/>
      <c r="E34" s="80"/>
      <c r="F34" s="80"/>
      <c r="G34" s="80"/>
    </row>
    <row r="35" spans="1:7" ht="14.25">
      <c r="A35" s="81">
        <v>1</v>
      </c>
      <c r="B35" s="605">
        <v>2</v>
      </c>
      <c r="C35" s="606"/>
      <c r="D35" s="82">
        <v>3</v>
      </c>
      <c r="E35" s="83">
        <v>4</v>
      </c>
      <c r="F35" s="83">
        <v>5</v>
      </c>
      <c r="G35" s="83">
        <v>6</v>
      </c>
    </row>
    <row r="36" spans="1:7" ht="15" customHeight="1">
      <c r="A36" s="84" t="s">
        <v>9</v>
      </c>
      <c r="B36" s="613" t="s">
        <v>294</v>
      </c>
      <c r="C36" s="613"/>
      <c r="D36" s="84" t="s">
        <v>43</v>
      </c>
      <c r="E36" s="85">
        <v>18</v>
      </c>
      <c r="F36" s="86">
        <f>F50/12</f>
        <v>2.5487256371814095</v>
      </c>
      <c r="G36" s="85">
        <f aca="true" t="shared" si="0" ref="G36:G43">E36*F36</f>
        <v>45.87706146926537</v>
      </c>
    </row>
    <row r="37" spans="1:7" ht="15" customHeight="1">
      <c r="A37" s="84" t="s">
        <v>45</v>
      </c>
      <c r="B37" s="613" t="s">
        <v>295</v>
      </c>
      <c r="C37" s="613"/>
      <c r="D37" s="84" t="s">
        <v>43</v>
      </c>
      <c r="E37" s="84">
        <v>18</v>
      </c>
      <c r="F37" s="86">
        <f>F50/12</f>
        <v>2.5487256371814095</v>
      </c>
      <c r="G37" s="85">
        <f t="shared" si="0"/>
        <v>45.87706146926537</v>
      </c>
    </row>
    <row r="38" spans="1:7" ht="15" customHeight="1">
      <c r="A38" s="84" t="s">
        <v>14</v>
      </c>
      <c r="B38" s="613" t="s">
        <v>551</v>
      </c>
      <c r="C38" s="613"/>
      <c r="D38" s="84" t="s">
        <v>43</v>
      </c>
      <c r="E38" s="94" t="s">
        <v>240</v>
      </c>
      <c r="F38" s="86">
        <f>F50/12</f>
        <v>2.5487256371814095</v>
      </c>
      <c r="G38" s="85">
        <f t="shared" si="0"/>
        <v>20.389805097451276</v>
      </c>
    </row>
    <row r="39" spans="1:7" ht="15" customHeight="1">
      <c r="A39" s="84" t="s">
        <v>49</v>
      </c>
      <c r="B39" s="613" t="s">
        <v>297</v>
      </c>
      <c r="C39" s="613"/>
      <c r="D39" s="84" t="s">
        <v>43</v>
      </c>
      <c r="E39" s="84">
        <v>15</v>
      </c>
      <c r="F39" s="86">
        <f>F50/12</f>
        <v>2.5487256371814095</v>
      </c>
      <c r="G39" s="85">
        <f t="shared" si="0"/>
        <v>38.23088455772114</v>
      </c>
    </row>
    <row r="40" spans="1:7" ht="15" customHeight="1">
      <c r="A40" s="627" t="s">
        <v>19</v>
      </c>
      <c r="B40" s="628" t="s">
        <v>51</v>
      </c>
      <c r="C40" s="629"/>
      <c r="D40" s="87"/>
      <c r="E40" s="88"/>
      <c r="F40" s="89"/>
      <c r="G40" s="84">
        <f t="shared" si="0"/>
        <v>0</v>
      </c>
    </row>
    <row r="41" spans="1:7" ht="14.25" customHeight="1">
      <c r="A41" s="627"/>
      <c r="B41" s="607" t="s">
        <v>52</v>
      </c>
      <c r="C41" s="608"/>
      <c r="D41" s="87"/>
      <c r="E41" s="90"/>
      <c r="F41" s="89"/>
      <c r="G41" s="84">
        <f t="shared" si="0"/>
        <v>0</v>
      </c>
    </row>
    <row r="42" spans="1:7" ht="15.75" customHeight="1">
      <c r="A42" s="627"/>
      <c r="B42" s="607"/>
      <c r="C42" s="608"/>
      <c r="D42" s="87"/>
      <c r="E42" s="90"/>
      <c r="F42" s="89"/>
      <c r="G42" s="84">
        <f t="shared" si="0"/>
        <v>0</v>
      </c>
    </row>
    <row r="43" spans="1:7" ht="14.25">
      <c r="A43" s="627"/>
      <c r="B43" s="609"/>
      <c r="C43" s="610"/>
      <c r="D43" s="87"/>
      <c r="E43" s="91"/>
      <c r="F43" s="89"/>
      <c r="G43" s="84">
        <f t="shared" si="0"/>
        <v>0</v>
      </c>
    </row>
    <row r="44" spans="1:7" ht="14.25">
      <c r="A44" s="84" t="s">
        <v>54</v>
      </c>
      <c r="B44" s="613" t="s">
        <v>55</v>
      </c>
      <c r="C44" s="613"/>
      <c r="D44" s="84"/>
      <c r="E44" s="84"/>
      <c r="F44" s="84"/>
      <c r="G44" s="85">
        <f>SUM(G36:G43)</f>
        <v>150.37481259370315</v>
      </c>
    </row>
    <row r="45" ht="14.25">
      <c r="A45" s="76"/>
    </row>
    <row r="46" ht="15" thickBot="1">
      <c r="A46" s="76" t="s">
        <v>56</v>
      </c>
    </row>
    <row r="47" spans="1:7" ht="27.75" customHeight="1" thickBot="1">
      <c r="A47" s="623" t="s">
        <v>37</v>
      </c>
      <c r="B47" s="603" t="s">
        <v>57</v>
      </c>
      <c r="C47" s="604"/>
      <c r="D47" s="598" t="s">
        <v>39</v>
      </c>
      <c r="E47" s="598" t="s">
        <v>207</v>
      </c>
      <c r="F47" s="623" t="s">
        <v>58</v>
      </c>
      <c r="G47" s="599" t="s">
        <v>59</v>
      </c>
    </row>
    <row r="48" spans="1:7" ht="15" customHeight="1">
      <c r="A48" s="624"/>
      <c r="B48" s="83" t="s">
        <v>60</v>
      </c>
      <c r="C48" s="92" t="s">
        <v>61</v>
      </c>
      <c r="D48" s="600"/>
      <c r="E48" s="600"/>
      <c r="F48" s="624"/>
      <c r="G48" s="612"/>
    </row>
    <row r="49" spans="1:7" ht="14.25" customHeight="1">
      <c r="A49" s="84">
        <v>1</v>
      </c>
      <c r="B49" s="93" t="s">
        <v>62</v>
      </c>
      <c r="C49" s="93" t="s">
        <v>258</v>
      </c>
      <c r="D49" s="84" t="s">
        <v>43</v>
      </c>
      <c r="E49" s="84">
        <v>2</v>
      </c>
      <c r="F49" s="86">
        <f>6600*12/2001</f>
        <v>39.58020989505248</v>
      </c>
      <c r="G49" s="85">
        <f>E49*F49</f>
        <v>79.16041979010495</v>
      </c>
    </row>
    <row r="50" spans="1:7" ht="15" customHeight="1">
      <c r="A50" s="84">
        <v>2</v>
      </c>
      <c r="B50" s="93" t="s">
        <v>63</v>
      </c>
      <c r="C50" s="93" t="s">
        <v>300</v>
      </c>
      <c r="D50" s="84" t="s">
        <v>43</v>
      </c>
      <c r="E50" s="84">
        <v>21</v>
      </c>
      <c r="F50" s="86">
        <f>5100*12/2001</f>
        <v>30.584707646176913</v>
      </c>
      <c r="G50" s="85">
        <f>E50*F50</f>
        <v>642.2788605697152</v>
      </c>
    </row>
    <row r="51" spans="1:7" ht="15" customHeight="1">
      <c r="A51" s="84">
        <v>3</v>
      </c>
      <c r="B51" s="93" t="s">
        <v>309</v>
      </c>
      <c r="C51" s="93" t="s">
        <v>310</v>
      </c>
      <c r="D51" s="84" t="s">
        <v>43</v>
      </c>
      <c r="E51" s="84">
        <v>2</v>
      </c>
      <c r="F51" s="86">
        <f>6110*12/2001</f>
        <v>36.64167916041979</v>
      </c>
      <c r="G51" s="85">
        <f>E51*F51</f>
        <v>73.28335832083958</v>
      </c>
    </row>
    <row r="52" spans="1:9" ht="15" customHeight="1">
      <c r="A52" s="84">
        <v>4</v>
      </c>
      <c r="B52" s="93" t="s">
        <v>67</v>
      </c>
      <c r="C52" s="93" t="s">
        <v>395</v>
      </c>
      <c r="D52" s="84" t="s">
        <v>43</v>
      </c>
      <c r="E52" s="94" t="s">
        <v>240</v>
      </c>
      <c r="F52" s="86">
        <f>4386*12/2001</f>
        <v>26.302848575712144</v>
      </c>
      <c r="G52" s="85">
        <f>E52*F52</f>
        <v>210.42278860569715</v>
      </c>
      <c r="I52" s="440" t="s">
        <v>537</v>
      </c>
    </row>
    <row r="53" spans="1:9" ht="15" customHeight="1">
      <c r="A53" s="84">
        <v>5</v>
      </c>
      <c r="B53" s="93" t="s">
        <v>70</v>
      </c>
      <c r="C53" s="93" t="s">
        <v>300</v>
      </c>
      <c r="D53" s="84" t="s">
        <v>43</v>
      </c>
      <c r="E53" s="84">
        <v>21</v>
      </c>
      <c r="F53" s="86">
        <f>5100*12/2001</f>
        <v>30.584707646176913</v>
      </c>
      <c r="G53" s="85">
        <f aca="true" t="shared" si="1" ref="G53:G58">E53*F53</f>
        <v>642.2788605697152</v>
      </c>
      <c r="I53" s="234"/>
    </row>
    <row r="54" spans="1:9" ht="15" customHeight="1">
      <c r="A54" s="84">
        <v>6</v>
      </c>
      <c r="B54" s="93" t="s">
        <v>73</v>
      </c>
      <c r="C54" s="93" t="s">
        <v>347</v>
      </c>
      <c r="D54" s="84" t="s">
        <v>43</v>
      </c>
      <c r="E54" s="94" t="s">
        <v>240</v>
      </c>
      <c r="F54" s="86">
        <f>4220*12/2001</f>
        <v>25.307346326836583</v>
      </c>
      <c r="G54" s="85">
        <f t="shared" si="1"/>
        <v>202.45877061469267</v>
      </c>
      <c r="I54" s="119"/>
    </row>
    <row r="55" spans="1:7" ht="15" customHeight="1">
      <c r="A55" s="84">
        <v>7</v>
      </c>
      <c r="B55" s="93" t="s">
        <v>80</v>
      </c>
      <c r="C55" s="93" t="s">
        <v>303</v>
      </c>
      <c r="D55" s="84" t="s">
        <v>43</v>
      </c>
      <c r="E55" s="84">
        <v>8</v>
      </c>
      <c r="F55" s="86">
        <f>3160*12/2001</f>
        <v>18.950524737631184</v>
      </c>
      <c r="G55" s="85">
        <f t="shared" si="1"/>
        <v>151.60419790104947</v>
      </c>
    </row>
    <row r="56" spans="1:9" ht="15" customHeight="1">
      <c r="A56" s="84">
        <v>8</v>
      </c>
      <c r="B56" s="93" t="s">
        <v>263</v>
      </c>
      <c r="C56" s="93" t="s">
        <v>395</v>
      </c>
      <c r="D56" s="84" t="s">
        <v>43</v>
      </c>
      <c r="E56" s="84">
        <v>8</v>
      </c>
      <c r="F56" s="86">
        <f>3061*12/2001</f>
        <v>18.356821589205396</v>
      </c>
      <c r="G56" s="85">
        <f t="shared" si="1"/>
        <v>146.85457271364317</v>
      </c>
      <c r="I56" s="234" t="s">
        <v>411</v>
      </c>
    </row>
    <row r="57" spans="1:7" ht="15" customHeight="1">
      <c r="A57" s="84">
        <v>9</v>
      </c>
      <c r="B57" s="93" t="s">
        <v>311</v>
      </c>
      <c r="C57" s="93" t="s">
        <v>395</v>
      </c>
      <c r="D57" s="84" t="s">
        <v>43</v>
      </c>
      <c r="E57" s="94" t="s">
        <v>261</v>
      </c>
      <c r="F57" s="237">
        <f>2870*12/2001</f>
        <v>17.211394302848575</v>
      </c>
      <c r="G57" s="85">
        <f t="shared" si="1"/>
        <v>68.8455772113943</v>
      </c>
    </row>
    <row r="58" spans="1:9" ht="15" customHeight="1">
      <c r="A58" s="84">
        <v>10</v>
      </c>
      <c r="B58" s="93" t="s">
        <v>265</v>
      </c>
      <c r="C58" s="93" t="s">
        <v>552</v>
      </c>
      <c r="D58" s="84" t="s">
        <v>43</v>
      </c>
      <c r="E58" s="94" t="s">
        <v>312</v>
      </c>
      <c r="F58" s="237">
        <f>(4200+4620)*12/4002</f>
        <v>26.44677661169415</v>
      </c>
      <c r="G58" s="85">
        <f t="shared" si="1"/>
        <v>317.3613193403298</v>
      </c>
      <c r="I58" s="63"/>
    </row>
    <row r="59" spans="1:7" ht="15" customHeight="1">
      <c r="A59" s="84"/>
      <c r="B59" s="93" t="s">
        <v>82</v>
      </c>
      <c r="C59" s="93"/>
      <c r="D59" s="84"/>
      <c r="E59" s="84"/>
      <c r="F59" s="84"/>
      <c r="G59" s="85">
        <f>SUM(G49:G58)</f>
        <v>2534.5487256371816</v>
      </c>
    </row>
    <row r="60" ht="15" customHeight="1">
      <c r="A60" s="95"/>
    </row>
    <row r="61" ht="15" thickBot="1">
      <c r="A61" s="76" t="s">
        <v>83</v>
      </c>
    </row>
    <row r="62" spans="1:7" ht="28.5" customHeight="1">
      <c r="A62" s="96" t="s">
        <v>37</v>
      </c>
      <c r="B62" s="598" t="s">
        <v>38</v>
      </c>
      <c r="C62" s="599"/>
      <c r="D62" s="78" t="s">
        <v>39</v>
      </c>
      <c r="E62" s="78" t="s">
        <v>207</v>
      </c>
      <c r="F62" s="78" t="s">
        <v>58</v>
      </c>
      <c r="G62" s="78" t="s">
        <v>59</v>
      </c>
    </row>
    <row r="63" spans="1:7" ht="15" customHeight="1">
      <c r="A63" s="84" t="s">
        <v>9</v>
      </c>
      <c r="B63" s="613" t="s">
        <v>84</v>
      </c>
      <c r="C63" s="613"/>
      <c r="D63" s="84" t="s">
        <v>85</v>
      </c>
      <c r="E63" s="97"/>
      <c r="F63" s="97"/>
      <c r="G63" s="85">
        <f>(G44+G59)*0.23</f>
        <v>617.5324137931035</v>
      </c>
    </row>
    <row r="64" spans="1:7" ht="15" customHeight="1">
      <c r="A64" s="84" t="s">
        <v>45</v>
      </c>
      <c r="B64" s="613" t="s">
        <v>539</v>
      </c>
      <c r="C64" s="613"/>
      <c r="D64" s="84" t="s">
        <v>85</v>
      </c>
      <c r="E64" s="97"/>
      <c r="F64" s="97"/>
      <c r="G64" s="85">
        <f>(G44+G59)*0.04</f>
        <v>107.39694152923539</v>
      </c>
    </row>
    <row r="65" ht="18" customHeight="1">
      <c r="A65" s="95"/>
    </row>
    <row r="66" ht="15" thickBot="1">
      <c r="A66" s="76" t="s">
        <v>87</v>
      </c>
    </row>
    <row r="67" spans="1:7" ht="27" customHeight="1" thickBot="1">
      <c r="A67" s="78" t="s">
        <v>37</v>
      </c>
      <c r="B67" s="598" t="s">
        <v>38</v>
      </c>
      <c r="C67" s="599"/>
      <c r="D67" s="77" t="s">
        <v>39</v>
      </c>
      <c r="E67" s="96" t="s">
        <v>207</v>
      </c>
      <c r="F67" s="78" t="s">
        <v>58</v>
      </c>
      <c r="G67" s="78" t="s">
        <v>59</v>
      </c>
    </row>
    <row r="68" spans="1:7" ht="15" customHeight="1">
      <c r="A68" s="625"/>
      <c r="B68" s="625"/>
      <c r="C68" s="625"/>
      <c r="D68" s="98"/>
      <c r="E68" s="98"/>
      <c r="F68" s="99"/>
      <c r="G68" s="99"/>
    </row>
    <row r="69" spans="1:7" ht="14.25">
      <c r="A69" s="620" t="s">
        <v>88</v>
      </c>
      <c r="B69" s="620"/>
      <c r="C69" s="620"/>
      <c r="D69" s="87"/>
      <c r="E69" s="87"/>
      <c r="F69" s="89"/>
      <c r="G69" s="89"/>
    </row>
    <row r="70" spans="1:7" ht="15" customHeight="1">
      <c r="A70" s="100" t="s">
        <v>9</v>
      </c>
      <c r="B70" s="613" t="s">
        <v>313</v>
      </c>
      <c r="C70" s="613"/>
      <c r="D70" s="84"/>
      <c r="E70" s="84"/>
      <c r="F70" s="84"/>
      <c r="G70" s="84"/>
    </row>
    <row r="71" spans="1:7" ht="15" customHeight="1">
      <c r="A71" s="100" t="s">
        <v>45</v>
      </c>
      <c r="B71" s="613" t="s">
        <v>90</v>
      </c>
      <c r="C71" s="613"/>
      <c r="D71" s="84" t="s">
        <v>91</v>
      </c>
      <c r="E71" s="84"/>
      <c r="F71" s="84"/>
      <c r="G71" s="85">
        <f>E71*F71</f>
        <v>0</v>
      </c>
    </row>
    <row r="72" spans="1:7" ht="15" customHeight="1">
      <c r="A72" s="100" t="s">
        <v>14</v>
      </c>
      <c r="B72" s="613" t="s">
        <v>92</v>
      </c>
      <c r="C72" s="613"/>
      <c r="D72" s="84" t="s">
        <v>91</v>
      </c>
      <c r="E72" s="84"/>
      <c r="F72" s="84"/>
      <c r="G72" s="85"/>
    </row>
    <row r="73" spans="1:7" ht="15" customHeight="1">
      <c r="A73" s="100" t="s">
        <v>49</v>
      </c>
      <c r="B73" s="613" t="s">
        <v>93</v>
      </c>
      <c r="C73" s="613"/>
      <c r="D73" s="84" t="s">
        <v>91</v>
      </c>
      <c r="E73" s="84"/>
      <c r="F73" s="84"/>
      <c r="G73" s="85">
        <f>E73*F73</f>
        <v>0</v>
      </c>
    </row>
    <row r="74" spans="1:7" ht="15" customHeight="1">
      <c r="A74" s="100" t="s">
        <v>19</v>
      </c>
      <c r="B74" s="613" t="s">
        <v>94</v>
      </c>
      <c r="C74" s="613"/>
      <c r="D74" s="84"/>
      <c r="E74" s="84"/>
      <c r="F74" s="84"/>
      <c r="G74" s="84"/>
    </row>
    <row r="75" spans="1:7" ht="15" customHeight="1">
      <c r="A75" s="100"/>
      <c r="B75" s="619" t="s">
        <v>95</v>
      </c>
      <c r="C75" s="619"/>
      <c r="D75" s="101" t="s">
        <v>96</v>
      </c>
      <c r="E75" s="101"/>
      <c r="F75" s="101"/>
      <c r="G75" s="101"/>
    </row>
    <row r="76" spans="1:7" ht="15" customHeight="1">
      <c r="A76" s="100"/>
      <c r="B76" s="619" t="s">
        <v>97</v>
      </c>
      <c r="C76" s="619"/>
      <c r="D76" s="101" t="s">
        <v>91</v>
      </c>
      <c r="E76" s="101"/>
      <c r="F76" s="101"/>
      <c r="G76" s="101"/>
    </row>
    <row r="77" spans="1:7" ht="15" customHeight="1">
      <c r="A77" s="100"/>
      <c r="B77" s="619" t="s">
        <v>98</v>
      </c>
      <c r="C77" s="619"/>
      <c r="D77" s="101" t="s">
        <v>85</v>
      </c>
      <c r="E77" s="101"/>
      <c r="F77" s="101"/>
      <c r="G77" s="42">
        <f>E75*E76*F77</f>
        <v>0</v>
      </c>
    </row>
    <row r="78" spans="1:7" ht="15" customHeight="1">
      <c r="A78" s="100" t="s">
        <v>54</v>
      </c>
      <c r="B78" s="613" t="s">
        <v>99</v>
      </c>
      <c r="C78" s="613"/>
      <c r="D78" s="101"/>
      <c r="E78" s="101"/>
      <c r="F78" s="101"/>
      <c r="G78" s="101"/>
    </row>
    <row r="79" spans="1:7" ht="15" customHeight="1">
      <c r="A79" s="100"/>
      <c r="B79" s="619" t="s">
        <v>97</v>
      </c>
      <c r="C79" s="619"/>
      <c r="D79" s="101" t="s">
        <v>91</v>
      </c>
      <c r="E79" s="101"/>
      <c r="F79" s="101"/>
      <c r="G79" s="101"/>
    </row>
    <row r="80" spans="1:7" ht="15" customHeight="1">
      <c r="A80" s="100"/>
      <c r="B80" s="619" t="s">
        <v>100</v>
      </c>
      <c r="C80" s="619"/>
      <c r="D80" s="101" t="s">
        <v>101</v>
      </c>
      <c r="E80" s="43"/>
      <c r="F80" s="41"/>
      <c r="G80" s="42">
        <f>E79*E80*F80</f>
        <v>0</v>
      </c>
    </row>
    <row r="81" spans="1:7" ht="15" customHeight="1">
      <c r="A81" s="100"/>
      <c r="B81" s="619" t="s">
        <v>102</v>
      </c>
      <c r="C81" s="619"/>
      <c r="D81" s="101" t="s">
        <v>91</v>
      </c>
      <c r="E81" s="41"/>
      <c r="F81" s="44"/>
      <c r="G81" s="42">
        <f>E79*F81</f>
        <v>0</v>
      </c>
    </row>
    <row r="82" spans="1:7" ht="14.25" customHeight="1">
      <c r="A82" s="620"/>
      <c r="B82" s="620"/>
      <c r="C82" s="620"/>
      <c r="D82" s="102"/>
      <c r="E82" s="102"/>
      <c r="F82" s="102"/>
      <c r="G82" s="102"/>
    </row>
    <row r="83" spans="1:7" ht="14.25">
      <c r="A83" s="620" t="s">
        <v>103</v>
      </c>
      <c r="B83" s="620"/>
      <c r="C83" s="620"/>
      <c r="D83" s="102"/>
      <c r="E83" s="102"/>
      <c r="F83" s="102"/>
      <c r="G83" s="102"/>
    </row>
    <row r="84" spans="1:7" ht="15" customHeight="1">
      <c r="A84" s="100"/>
      <c r="B84" s="619" t="s">
        <v>97</v>
      </c>
      <c r="C84" s="619"/>
      <c r="D84" s="101" t="s">
        <v>91</v>
      </c>
      <c r="E84" s="101">
        <v>14</v>
      </c>
      <c r="F84" s="101"/>
      <c r="G84" s="101"/>
    </row>
    <row r="85" spans="1:7" ht="15" customHeight="1">
      <c r="A85" s="100"/>
      <c r="B85" s="619" t="s">
        <v>104</v>
      </c>
      <c r="C85" s="619"/>
      <c r="D85" s="101" t="s">
        <v>101</v>
      </c>
      <c r="E85" s="101">
        <v>1.35</v>
      </c>
      <c r="F85" s="101">
        <v>1.68</v>
      </c>
      <c r="G85" s="103">
        <f>E84*E85*F85</f>
        <v>31.752000000000002</v>
      </c>
    </row>
    <row r="86" spans="1:7" ht="14.25" customHeight="1">
      <c r="A86" s="100"/>
      <c r="B86" s="619" t="s">
        <v>105</v>
      </c>
      <c r="C86" s="619"/>
      <c r="D86" s="101" t="s">
        <v>85</v>
      </c>
      <c r="E86" s="101"/>
      <c r="F86" s="101">
        <v>11.8</v>
      </c>
      <c r="G86" s="103">
        <f>E84*F86</f>
        <v>165.20000000000002</v>
      </c>
    </row>
    <row r="87" spans="1:7" ht="15" customHeight="1">
      <c r="A87" s="620"/>
      <c r="B87" s="620"/>
      <c r="C87" s="620"/>
      <c r="D87" s="102"/>
      <c r="E87" s="102"/>
      <c r="F87" s="102"/>
      <c r="G87" s="102"/>
    </row>
    <row r="88" spans="1:7" ht="14.25">
      <c r="A88" s="620" t="s">
        <v>106</v>
      </c>
      <c r="B88" s="620"/>
      <c r="C88" s="620"/>
      <c r="D88" s="102"/>
      <c r="E88" s="102"/>
      <c r="F88" s="102"/>
      <c r="G88" s="102"/>
    </row>
    <row r="89" spans="1:7" ht="15" customHeight="1">
      <c r="A89" s="100"/>
      <c r="B89" s="619" t="s">
        <v>97</v>
      </c>
      <c r="C89" s="619"/>
      <c r="D89" s="101" t="s">
        <v>91</v>
      </c>
      <c r="E89" s="101">
        <v>5</v>
      </c>
      <c r="F89" s="101"/>
      <c r="G89" s="101"/>
    </row>
    <row r="90" spans="1:7" ht="15" customHeight="1">
      <c r="A90" s="100"/>
      <c r="B90" s="619" t="s">
        <v>104</v>
      </c>
      <c r="C90" s="619"/>
      <c r="D90" s="101" t="s">
        <v>101</v>
      </c>
      <c r="E90" s="101">
        <v>0.5</v>
      </c>
      <c r="F90" s="101">
        <v>1.68</v>
      </c>
      <c r="G90" s="103">
        <f>E89*E90*F90</f>
        <v>4.2</v>
      </c>
    </row>
    <row r="91" spans="1:7" ht="14.25" customHeight="1">
      <c r="A91" s="100"/>
      <c r="B91" s="619" t="s">
        <v>107</v>
      </c>
      <c r="C91" s="619"/>
      <c r="D91" s="101" t="s">
        <v>85</v>
      </c>
      <c r="E91" s="101"/>
      <c r="F91" s="101">
        <v>0.6</v>
      </c>
      <c r="G91" s="101">
        <f>E89*F91</f>
        <v>3</v>
      </c>
    </row>
    <row r="93" spans="1:7" ht="15.75">
      <c r="A93" s="620" t="s">
        <v>208</v>
      </c>
      <c r="B93" s="620"/>
      <c r="C93" s="620"/>
      <c r="D93" s="87"/>
      <c r="E93" s="87"/>
      <c r="F93" s="89"/>
      <c r="G93" s="89"/>
    </row>
    <row r="94" spans="1:7" ht="18.75" customHeight="1">
      <c r="A94" s="93"/>
      <c r="B94" s="621"/>
      <c r="C94" s="621"/>
      <c r="D94" s="84"/>
      <c r="E94" s="84"/>
      <c r="F94" s="84"/>
      <c r="G94" s="84"/>
    </row>
    <row r="95" spans="1:7" ht="14.25">
      <c r="A95" s="93"/>
      <c r="B95" s="621"/>
      <c r="C95" s="621"/>
      <c r="D95" s="84"/>
      <c r="E95" s="84"/>
      <c r="F95" s="84"/>
      <c r="G95" s="84"/>
    </row>
    <row r="96" spans="1:7" ht="14.25">
      <c r="A96" s="93"/>
      <c r="B96" s="587"/>
      <c r="C96" s="588"/>
      <c r="D96" s="84"/>
      <c r="E96" s="94"/>
      <c r="F96" s="84"/>
      <c r="G96" s="85">
        <f>SUM(G94:G95)</f>
        <v>0</v>
      </c>
    </row>
    <row r="97" spans="1:7" ht="14.25" customHeight="1">
      <c r="A97" s="84"/>
      <c r="B97" s="587" t="s">
        <v>108</v>
      </c>
      <c r="C97" s="588"/>
      <c r="D97" s="84"/>
      <c r="E97" s="94"/>
      <c r="F97" s="84"/>
      <c r="G97" s="85">
        <f>SUM(G71:G96)</f>
        <v>204.15200000000002</v>
      </c>
    </row>
    <row r="98" spans="1:7" ht="12.75">
      <c r="A98" s="104"/>
      <c r="B98" s="104"/>
      <c r="C98" s="104"/>
      <c r="D98" s="104"/>
      <c r="E98" s="104"/>
      <c r="F98" s="104"/>
      <c r="G98" s="104"/>
    </row>
    <row r="99" ht="15" thickBot="1">
      <c r="A99" s="76" t="s">
        <v>110</v>
      </c>
    </row>
    <row r="100" spans="1:7" ht="26.25" customHeight="1">
      <c r="A100" s="96" t="s">
        <v>37</v>
      </c>
      <c r="B100" s="105" t="s">
        <v>38</v>
      </c>
      <c r="C100" s="106"/>
      <c r="D100" s="77" t="s">
        <v>39</v>
      </c>
      <c r="E100" s="78" t="s">
        <v>207</v>
      </c>
      <c r="F100" s="78" t="s">
        <v>58</v>
      </c>
      <c r="G100" s="78" t="s">
        <v>59</v>
      </c>
    </row>
    <row r="101" spans="1:7" ht="15" customHeight="1">
      <c r="A101" s="84" t="s">
        <v>9</v>
      </c>
      <c r="B101" s="613" t="s">
        <v>111</v>
      </c>
      <c r="C101" s="613"/>
      <c r="D101" s="101" t="s">
        <v>91</v>
      </c>
      <c r="E101" s="101"/>
      <c r="F101" s="101"/>
      <c r="G101" s="84">
        <f>E101*F101</f>
        <v>0</v>
      </c>
    </row>
    <row r="102" spans="1:7" ht="15" customHeight="1">
      <c r="A102" s="84" t="s">
        <v>45</v>
      </c>
      <c r="B102" s="613" t="s">
        <v>112</v>
      </c>
      <c r="C102" s="613"/>
      <c r="D102" s="101" t="s">
        <v>91</v>
      </c>
      <c r="E102" s="101"/>
      <c r="F102" s="101"/>
      <c r="G102" s="84">
        <f>E102*F102</f>
        <v>0</v>
      </c>
    </row>
    <row r="103" spans="1:7" ht="15" customHeight="1">
      <c r="A103" s="84" t="s">
        <v>14</v>
      </c>
      <c r="B103" s="613" t="s">
        <v>113</v>
      </c>
      <c r="C103" s="613"/>
      <c r="D103" s="101" t="s">
        <v>91</v>
      </c>
      <c r="E103" s="101"/>
      <c r="F103" s="101"/>
      <c r="G103" s="84">
        <f>E103*F103</f>
        <v>0</v>
      </c>
    </row>
    <row r="104" spans="1:7" ht="15" customHeight="1">
      <c r="A104" s="84" t="s">
        <v>49</v>
      </c>
      <c r="B104" s="613" t="s">
        <v>94</v>
      </c>
      <c r="C104" s="613"/>
      <c r="D104" s="101"/>
      <c r="E104" s="101"/>
      <c r="F104" s="101"/>
      <c r="G104" s="101"/>
    </row>
    <row r="105" spans="1:7" ht="15" customHeight="1">
      <c r="A105" s="84"/>
      <c r="B105" s="619" t="s">
        <v>95</v>
      </c>
      <c r="C105" s="619"/>
      <c r="D105" s="101" t="s">
        <v>96</v>
      </c>
      <c r="E105" s="101"/>
      <c r="F105" s="101"/>
      <c r="G105" s="101"/>
    </row>
    <row r="106" spans="1:7" ht="15" customHeight="1">
      <c r="A106" s="84"/>
      <c r="B106" s="619" t="s">
        <v>97</v>
      </c>
      <c r="C106" s="619"/>
      <c r="D106" s="101" t="s">
        <v>91</v>
      </c>
      <c r="E106" s="101"/>
      <c r="F106" s="101"/>
      <c r="G106" s="101"/>
    </row>
    <row r="107" spans="1:7" ht="15" customHeight="1">
      <c r="A107" s="84"/>
      <c r="B107" s="619" t="s">
        <v>114</v>
      </c>
      <c r="C107" s="619"/>
      <c r="D107" s="101" t="s">
        <v>85</v>
      </c>
      <c r="E107" s="101"/>
      <c r="F107" s="101"/>
      <c r="G107" s="103">
        <f>E105*E106*F107</f>
        <v>0</v>
      </c>
    </row>
    <row r="108" spans="1:7" ht="15" customHeight="1">
      <c r="A108" s="84" t="s">
        <v>19</v>
      </c>
      <c r="B108" s="630" t="s">
        <v>115</v>
      </c>
      <c r="C108" s="630"/>
      <c r="D108" s="101"/>
      <c r="E108" s="101"/>
      <c r="F108" s="101"/>
      <c r="G108" s="101"/>
    </row>
    <row r="109" spans="1:7" ht="15" customHeight="1">
      <c r="A109" s="84"/>
      <c r="B109" s="619" t="s">
        <v>116</v>
      </c>
      <c r="C109" s="619"/>
      <c r="D109" s="101" t="s">
        <v>117</v>
      </c>
      <c r="E109" s="101"/>
      <c r="F109" s="101"/>
      <c r="G109" s="101"/>
    </row>
    <row r="110" spans="1:7" ht="15" customHeight="1">
      <c r="A110" s="84"/>
      <c r="B110" s="619" t="s">
        <v>118</v>
      </c>
      <c r="C110" s="619"/>
      <c r="D110" s="101" t="s">
        <v>85</v>
      </c>
      <c r="E110" s="101"/>
      <c r="F110" s="107"/>
      <c r="G110" s="103">
        <f>E109*E110*F110</f>
        <v>0</v>
      </c>
    </row>
    <row r="111" spans="1:7" ht="15" customHeight="1">
      <c r="A111" s="84" t="s">
        <v>54</v>
      </c>
      <c r="B111" s="630" t="s">
        <v>119</v>
      </c>
      <c r="C111" s="630"/>
      <c r="D111" s="101"/>
      <c r="E111" s="101"/>
      <c r="F111" s="101"/>
      <c r="G111" s="101"/>
    </row>
    <row r="112" spans="1:7" ht="15" customHeight="1">
      <c r="A112" s="84"/>
      <c r="B112" s="619" t="s">
        <v>120</v>
      </c>
      <c r="C112" s="619"/>
      <c r="D112" s="101" t="s">
        <v>117</v>
      </c>
      <c r="E112" s="101"/>
      <c r="F112" s="101"/>
      <c r="G112" s="101"/>
    </row>
    <row r="113" spans="1:7" ht="15" customHeight="1">
      <c r="A113" s="84"/>
      <c r="B113" s="619" t="s">
        <v>121</v>
      </c>
      <c r="C113" s="619"/>
      <c r="D113" s="101" t="s">
        <v>85</v>
      </c>
      <c r="E113" s="101"/>
      <c r="F113" s="101"/>
      <c r="G113" s="101">
        <f>E112*E113*F113</f>
        <v>0</v>
      </c>
    </row>
    <row r="114" spans="1:7" ht="15" customHeight="1">
      <c r="A114" s="84" t="s">
        <v>22</v>
      </c>
      <c r="B114" s="630" t="s">
        <v>99</v>
      </c>
      <c r="C114" s="630"/>
      <c r="D114" s="101"/>
      <c r="E114" s="101"/>
      <c r="F114" s="101"/>
      <c r="G114" s="101"/>
    </row>
    <row r="115" spans="1:7" ht="15" customHeight="1">
      <c r="A115" s="84"/>
      <c r="B115" s="619" t="s">
        <v>97</v>
      </c>
      <c r="C115" s="619"/>
      <c r="D115" s="101" t="s">
        <v>91</v>
      </c>
      <c r="E115" s="101"/>
      <c r="F115" s="101"/>
      <c r="G115" s="101"/>
    </row>
    <row r="116" spans="1:7" ht="15" customHeight="1">
      <c r="A116" s="84"/>
      <c r="B116" s="619" t="s">
        <v>102</v>
      </c>
      <c r="C116" s="619"/>
      <c r="D116" s="101" t="s">
        <v>85</v>
      </c>
      <c r="E116" s="101"/>
      <c r="F116" s="101"/>
      <c r="G116" s="103">
        <f>E115*F116</f>
        <v>0</v>
      </c>
    </row>
    <row r="117" spans="1:7" ht="14.25" customHeight="1">
      <c r="A117" s="84" t="s">
        <v>72</v>
      </c>
      <c r="B117" s="613" t="s">
        <v>122</v>
      </c>
      <c r="C117" s="613"/>
      <c r="D117" s="101" t="s">
        <v>91</v>
      </c>
      <c r="E117" s="101"/>
      <c r="F117" s="101"/>
      <c r="G117" s="101">
        <f>E117*F117</f>
        <v>0</v>
      </c>
    </row>
    <row r="118" spans="1:7" ht="14.25" customHeight="1">
      <c r="A118" s="84"/>
      <c r="B118" s="587" t="s">
        <v>123</v>
      </c>
      <c r="C118" s="588"/>
      <c r="D118" s="84"/>
      <c r="E118" s="94"/>
      <c r="F118" s="84"/>
      <c r="G118" s="85">
        <f>SUM(G101:G117)</f>
        <v>0</v>
      </c>
    </row>
    <row r="119" ht="14.25">
      <c r="A119" s="67"/>
    </row>
    <row r="120" ht="14.25">
      <c r="A120" s="76" t="s">
        <v>124</v>
      </c>
    </row>
    <row r="121" ht="15" thickBot="1">
      <c r="A121" s="76"/>
    </row>
    <row r="122" spans="1:9" ht="29.25" customHeight="1">
      <c r="A122" s="96" t="s">
        <v>37</v>
      </c>
      <c r="B122" s="105" t="s">
        <v>38</v>
      </c>
      <c r="C122" s="106"/>
      <c r="D122" s="77" t="s">
        <v>39</v>
      </c>
      <c r="E122" s="108" t="s">
        <v>207</v>
      </c>
      <c r="F122" s="78" t="s">
        <v>58</v>
      </c>
      <c r="G122" s="78" t="s">
        <v>59</v>
      </c>
      <c r="H122" s="109"/>
      <c r="I122" s="110"/>
    </row>
    <row r="123" spans="1:9" ht="15" customHeight="1">
      <c r="A123" s="84" t="s">
        <v>9</v>
      </c>
      <c r="B123" s="613" t="s">
        <v>125</v>
      </c>
      <c r="C123" s="613"/>
      <c r="D123" s="101" t="s">
        <v>96</v>
      </c>
      <c r="E123" s="101">
        <v>1</v>
      </c>
      <c r="F123" s="101"/>
      <c r="G123" s="101"/>
      <c r="H123" s="89"/>
      <c r="I123" s="110"/>
    </row>
    <row r="124" spans="1:9" ht="15" customHeight="1">
      <c r="A124" s="84" t="s">
        <v>45</v>
      </c>
      <c r="B124" s="613" t="s">
        <v>126</v>
      </c>
      <c r="C124" s="613"/>
      <c r="D124" s="101" t="s">
        <v>127</v>
      </c>
      <c r="E124" s="101"/>
      <c r="F124" s="101"/>
      <c r="G124" s="101"/>
      <c r="H124" s="89"/>
      <c r="I124" s="110"/>
    </row>
    <row r="125" spans="1:9" ht="26.25" customHeight="1">
      <c r="A125" s="84" t="s">
        <v>14</v>
      </c>
      <c r="B125" s="613" t="s">
        <v>128</v>
      </c>
      <c r="C125" s="613"/>
      <c r="D125" s="101" t="s">
        <v>129</v>
      </c>
      <c r="E125" s="101">
        <v>8</v>
      </c>
      <c r="F125" s="160">
        <f>1880.95/722.42</f>
        <v>2.6036793001301186</v>
      </c>
      <c r="G125" s="103">
        <f>E123*E125*F125</f>
        <v>20.82943440104095</v>
      </c>
      <c r="H125" s="89"/>
      <c r="I125" s="110"/>
    </row>
    <row r="126" spans="1:9" ht="14.25" customHeight="1">
      <c r="A126" s="84" t="s">
        <v>49</v>
      </c>
      <c r="B126" s="613" t="s">
        <v>130</v>
      </c>
      <c r="C126" s="613"/>
      <c r="D126" s="101" t="s">
        <v>131</v>
      </c>
      <c r="E126" s="101"/>
      <c r="F126" s="101"/>
      <c r="G126" s="101"/>
      <c r="H126" s="89"/>
      <c r="I126" s="110"/>
    </row>
    <row r="127" spans="1:9" ht="15" customHeight="1">
      <c r="A127" s="84"/>
      <c r="B127" s="613" t="s">
        <v>132</v>
      </c>
      <c r="C127" s="613"/>
      <c r="D127" s="101" t="s">
        <v>131</v>
      </c>
      <c r="E127" s="101"/>
      <c r="F127" s="101"/>
      <c r="G127" s="101">
        <f>E127*F127</f>
        <v>0</v>
      </c>
      <c r="H127" s="89"/>
      <c r="I127" s="110"/>
    </row>
    <row r="128" spans="1:9" ht="15">
      <c r="A128" s="84"/>
      <c r="B128" s="613" t="s">
        <v>133</v>
      </c>
      <c r="C128" s="613"/>
      <c r="D128" s="101" t="s">
        <v>131</v>
      </c>
      <c r="E128" s="111"/>
      <c r="F128" s="111"/>
      <c r="G128" s="103">
        <f>E128*F128</f>
        <v>0</v>
      </c>
      <c r="H128" s="89"/>
      <c r="I128" s="110"/>
    </row>
    <row r="129" spans="1:9" ht="15">
      <c r="A129" s="84"/>
      <c r="B129" s="613" t="s">
        <v>134</v>
      </c>
      <c r="C129" s="613"/>
      <c r="D129" s="101" t="s">
        <v>131</v>
      </c>
      <c r="E129" s="101"/>
      <c r="F129" s="101"/>
      <c r="G129" s="101">
        <f>E129*F129</f>
        <v>0</v>
      </c>
      <c r="H129" s="89"/>
      <c r="I129" s="110"/>
    </row>
    <row r="130" spans="1:9" ht="15">
      <c r="A130" s="84"/>
      <c r="B130" s="587" t="s">
        <v>135</v>
      </c>
      <c r="C130" s="588"/>
      <c r="D130" s="84"/>
      <c r="E130" s="94"/>
      <c r="F130" s="84"/>
      <c r="G130" s="85">
        <f>SUM(G123:G129)</f>
        <v>20.82943440104095</v>
      </c>
      <c r="H130" s="89"/>
      <c r="I130" s="110"/>
    </row>
    <row r="131" spans="1:9" ht="12.75">
      <c r="A131" s="104"/>
      <c r="B131" s="104"/>
      <c r="C131" s="104"/>
      <c r="D131" s="104"/>
      <c r="E131" s="104"/>
      <c r="F131" s="104"/>
      <c r="G131" s="104"/>
      <c r="H131" s="104"/>
      <c r="I131" s="104"/>
    </row>
    <row r="132" ht="15" thickBot="1">
      <c r="A132" s="76" t="s">
        <v>136</v>
      </c>
    </row>
    <row r="133" spans="1:7" ht="28.5" customHeight="1">
      <c r="A133" s="96" t="s">
        <v>37</v>
      </c>
      <c r="B133" s="105" t="s">
        <v>38</v>
      </c>
      <c r="C133" s="106"/>
      <c r="D133" s="78" t="s">
        <v>39</v>
      </c>
      <c r="E133" s="78" t="s">
        <v>207</v>
      </c>
      <c r="F133" s="78" t="s">
        <v>58</v>
      </c>
      <c r="G133" s="78" t="s">
        <v>59</v>
      </c>
    </row>
    <row r="134" spans="1:7" ht="14.25" customHeight="1">
      <c r="A134" s="84" t="s">
        <v>9</v>
      </c>
      <c r="B134" s="613" t="s">
        <v>137</v>
      </c>
      <c r="C134" s="613"/>
      <c r="D134" s="84" t="s">
        <v>138</v>
      </c>
      <c r="E134" s="101"/>
      <c r="F134" s="101"/>
      <c r="G134" s="101"/>
    </row>
    <row r="135" spans="1:7" ht="14.25" customHeight="1">
      <c r="A135" s="84" t="s">
        <v>45</v>
      </c>
      <c r="B135" s="613" t="s">
        <v>139</v>
      </c>
      <c r="C135" s="613"/>
      <c r="D135" s="622"/>
      <c r="E135" s="622"/>
      <c r="F135" s="622"/>
      <c r="G135" s="622"/>
    </row>
    <row r="136" spans="1:7" ht="14.25" customHeight="1">
      <c r="A136" s="84" t="s">
        <v>14</v>
      </c>
      <c r="B136" s="613" t="s">
        <v>140</v>
      </c>
      <c r="C136" s="613"/>
      <c r="D136" s="622"/>
      <c r="E136" s="622"/>
      <c r="F136" s="622"/>
      <c r="G136" s="622"/>
    </row>
    <row r="137" spans="1:7" ht="15" customHeight="1">
      <c r="A137" s="84" t="s">
        <v>49</v>
      </c>
      <c r="B137" s="613" t="s">
        <v>141</v>
      </c>
      <c r="C137" s="613"/>
      <c r="D137" s="84" t="s">
        <v>138</v>
      </c>
      <c r="E137" s="101"/>
      <c r="F137" s="101"/>
      <c r="G137" s="101">
        <f>E137*F137*E134</f>
        <v>0</v>
      </c>
    </row>
    <row r="138" spans="1:7" ht="15" customHeight="1">
      <c r="A138" s="84" t="s">
        <v>19</v>
      </c>
      <c r="B138" s="613" t="s">
        <v>142</v>
      </c>
      <c r="C138" s="613"/>
      <c r="D138" s="84" t="s">
        <v>138</v>
      </c>
      <c r="E138" s="101"/>
      <c r="F138" s="101"/>
      <c r="G138" s="101">
        <f>E138*F138*E134</f>
        <v>0</v>
      </c>
    </row>
    <row r="139" spans="1:7" ht="15" customHeight="1">
      <c r="A139" s="84" t="s">
        <v>54</v>
      </c>
      <c r="B139" s="613" t="s">
        <v>143</v>
      </c>
      <c r="C139" s="613"/>
      <c r="D139" s="84" t="s">
        <v>85</v>
      </c>
      <c r="E139" s="101"/>
      <c r="F139" s="101"/>
      <c r="G139" s="101">
        <f>E134*F139</f>
        <v>0</v>
      </c>
    </row>
    <row r="140" spans="1:7" ht="15" customHeight="1">
      <c r="A140" s="84" t="s">
        <v>22</v>
      </c>
      <c r="B140" s="613" t="s">
        <v>144</v>
      </c>
      <c r="C140" s="613"/>
      <c r="D140" s="84" t="s">
        <v>85</v>
      </c>
      <c r="E140" s="101"/>
      <c r="F140" s="101"/>
      <c r="G140" s="101">
        <f>E134*F140</f>
        <v>0</v>
      </c>
    </row>
    <row r="141" spans="1:7" ht="15" customHeight="1">
      <c r="A141" s="84" t="s">
        <v>72</v>
      </c>
      <c r="B141" s="613" t="s">
        <v>145</v>
      </c>
      <c r="C141" s="613"/>
      <c r="D141" s="84" t="s">
        <v>85</v>
      </c>
      <c r="E141" s="101"/>
      <c r="F141" s="101"/>
      <c r="G141" s="101">
        <f>E134*F141</f>
        <v>0</v>
      </c>
    </row>
    <row r="142" spans="1:7" ht="15" customHeight="1">
      <c r="A142" s="84" t="s">
        <v>26</v>
      </c>
      <c r="B142" s="613" t="s">
        <v>146</v>
      </c>
      <c r="C142" s="613"/>
      <c r="D142" s="84" t="s">
        <v>85</v>
      </c>
      <c r="E142" s="101"/>
      <c r="F142" s="101"/>
      <c r="G142" s="101">
        <f>F142</f>
        <v>0</v>
      </c>
    </row>
    <row r="143" spans="1:7" ht="14.25">
      <c r="A143" s="84"/>
      <c r="B143" s="587" t="s">
        <v>147</v>
      </c>
      <c r="C143" s="588"/>
      <c r="D143" s="84"/>
      <c r="E143" s="94"/>
      <c r="F143" s="84"/>
      <c r="G143" s="85">
        <f>SUM(G137:G142)</f>
        <v>0</v>
      </c>
    </row>
    <row r="144" ht="14.25">
      <c r="A144" s="67"/>
    </row>
    <row r="145" ht="14.25">
      <c r="A145" s="67"/>
    </row>
    <row r="146" ht="14.25">
      <c r="A146" s="76" t="s">
        <v>148</v>
      </c>
    </row>
    <row r="147" ht="15" thickBot="1">
      <c r="A147" s="76"/>
    </row>
    <row r="148" spans="1:7" ht="28.5" customHeight="1">
      <c r="A148" s="96" t="s">
        <v>37</v>
      </c>
      <c r="B148" s="598" t="s">
        <v>38</v>
      </c>
      <c r="C148" s="599"/>
      <c r="D148" s="77" t="s">
        <v>39</v>
      </c>
      <c r="E148" s="78" t="s">
        <v>207</v>
      </c>
      <c r="F148" s="78" t="s">
        <v>58</v>
      </c>
      <c r="G148" s="78" t="s">
        <v>59</v>
      </c>
    </row>
    <row r="149" spans="1:7" ht="14.25" customHeight="1">
      <c r="A149" s="84" t="s">
        <v>9</v>
      </c>
      <c r="B149" s="613" t="s">
        <v>149</v>
      </c>
      <c r="C149" s="613"/>
      <c r="D149" s="84" t="s">
        <v>85</v>
      </c>
      <c r="E149" s="101"/>
      <c r="F149" s="101"/>
      <c r="G149" s="101"/>
    </row>
    <row r="150" spans="1:7" ht="14.25" customHeight="1">
      <c r="A150" s="84" t="s">
        <v>45</v>
      </c>
      <c r="B150" s="613" t="s">
        <v>150</v>
      </c>
      <c r="C150" s="613"/>
      <c r="D150" s="84" t="s">
        <v>85</v>
      </c>
      <c r="E150" s="101"/>
      <c r="F150" s="101"/>
      <c r="G150" s="101"/>
    </row>
    <row r="151" spans="1:7" ht="15" customHeight="1">
      <c r="A151" s="84" t="s">
        <v>14</v>
      </c>
      <c r="B151" s="613" t="s">
        <v>405</v>
      </c>
      <c r="C151" s="613"/>
      <c r="D151" s="84" t="s">
        <v>96</v>
      </c>
      <c r="E151" s="107"/>
      <c r="F151" s="101"/>
      <c r="G151" s="103">
        <f>E151*F151</f>
        <v>0</v>
      </c>
    </row>
    <row r="152" spans="1:7" ht="14.25">
      <c r="A152" s="84" t="s">
        <v>49</v>
      </c>
      <c r="B152" s="613" t="s">
        <v>152</v>
      </c>
      <c r="C152" s="613"/>
      <c r="D152" s="84" t="s">
        <v>96</v>
      </c>
      <c r="E152" s="101"/>
      <c r="F152" s="101"/>
      <c r="G152" s="101">
        <f>E152*F152</f>
        <v>0</v>
      </c>
    </row>
    <row r="153" spans="1:7" ht="15" customHeight="1">
      <c r="A153" s="84" t="s">
        <v>19</v>
      </c>
      <c r="B153" s="613" t="s">
        <v>153</v>
      </c>
      <c r="C153" s="613"/>
      <c r="D153" s="84"/>
      <c r="E153" s="101"/>
      <c r="F153" s="101"/>
      <c r="G153" s="101">
        <f>E153*F153</f>
        <v>0</v>
      </c>
    </row>
    <row r="154" spans="1:7" ht="15" customHeight="1">
      <c r="A154" s="84" t="s">
        <v>54</v>
      </c>
      <c r="B154" s="613" t="s">
        <v>154</v>
      </c>
      <c r="C154" s="613"/>
      <c r="D154" s="84"/>
      <c r="E154" s="101"/>
      <c r="F154" s="101"/>
      <c r="G154" s="101"/>
    </row>
    <row r="155" spans="1:7" ht="15" customHeight="1">
      <c r="A155" s="84" t="s">
        <v>22</v>
      </c>
      <c r="B155" s="613" t="s">
        <v>155</v>
      </c>
      <c r="C155" s="613"/>
      <c r="D155" s="84"/>
      <c r="E155" s="101"/>
      <c r="F155" s="101"/>
      <c r="G155" s="101"/>
    </row>
    <row r="156" spans="1:7" ht="15" customHeight="1">
      <c r="A156" s="84" t="s">
        <v>72</v>
      </c>
      <c r="B156" s="613" t="s">
        <v>156</v>
      </c>
      <c r="C156" s="613"/>
      <c r="D156" s="84"/>
      <c r="E156" s="101"/>
      <c r="F156" s="101"/>
      <c r="G156" s="101">
        <f>E156*F156</f>
        <v>0</v>
      </c>
    </row>
    <row r="157" spans="1:7" ht="16.5" customHeight="1">
      <c r="A157" s="84" t="s">
        <v>26</v>
      </c>
      <c r="B157" s="613" t="s">
        <v>306</v>
      </c>
      <c r="C157" s="613"/>
      <c r="D157" s="84" t="s">
        <v>85</v>
      </c>
      <c r="E157" s="101"/>
      <c r="F157" s="101"/>
      <c r="G157" s="101"/>
    </row>
    <row r="158" spans="1:7" ht="15" customHeight="1">
      <c r="A158" s="84"/>
      <c r="B158" s="587" t="s">
        <v>158</v>
      </c>
      <c r="C158" s="588"/>
      <c r="D158" s="84"/>
      <c r="E158" s="94"/>
      <c r="F158" s="84"/>
      <c r="G158" s="85">
        <f>SUM(G149:G157)</f>
        <v>0</v>
      </c>
    </row>
    <row r="159" ht="14.25">
      <c r="A159" s="67"/>
    </row>
    <row r="160" ht="14.25">
      <c r="A160" s="76" t="s">
        <v>159</v>
      </c>
    </row>
    <row r="161" ht="15" thickBot="1">
      <c r="A161" s="76"/>
    </row>
    <row r="162" spans="1:7" ht="28.5" customHeight="1">
      <c r="A162" s="623" t="s">
        <v>37</v>
      </c>
      <c r="B162" s="598" t="s">
        <v>38</v>
      </c>
      <c r="C162" s="599"/>
      <c r="D162" s="77" t="s">
        <v>39</v>
      </c>
      <c r="E162" s="78" t="s">
        <v>207</v>
      </c>
      <c r="F162" s="78" t="s">
        <v>58</v>
      </c>
      <c r="G162" s="78" t="s">
        <v>59</v>
      </c>
    </row>
    <row r="163" spans="1:7" ht="15" customHeight="1">
      <c r="A163" s="624"/>
      <c r="B163" s="600"/>
      <c r="C163" s="612"/>
      <c r="D163" s="112"/>
      <c r="E163" s="113"/>
      <c r="F163" s="113"/>
      <c r="G163" s="113"/>
    </row>
    <row r="164" spans="1:7" ht="15" customHeight="1">
      <c r="A164" s="84" t="s">
        <v>9</v>
      </c>
      <c r="B164" s="622" t="s">
        <v>160</v>
      </c>
      <c r="C164" s="622"/>
      <c r="D164" s="84" t="s">
        <v>85</v>
      </c>
      <c r="E164" s="84"/>
      <c r="F164" s="84"/>
      <c r="G164" s="84">
        <f>E164*F164</f>
        <v>0</v>
      </c>
    </row>
    <row r="165" spans="1:7" ht="15" customHeight="1">
      <c r="A165" s="84"/>
      <c r="B165" s="618"/>
      <c r="C165" s="618"/>
      <c r="D165" s="84"/>
      <c r="E165" s="84"/>
      <c r="F165" s="84"/>
      <c r="G165" s="84"/>
    </row>
    <row r="166" spans="1:7" ht="15" customHeight="1">
      <c r="A166" s="84"/>
      <c r="B166" s="587" t="s">
        <v>161</v>
      </c>
      <c r="C166" s="588"/>
      <c r="D166" s="84"/>
      <c r="E166" s="84"/>
      <c r="F166" s="84"/>
      <c r="G166" s="84">
        <f>SUM(G164:G165)</f>
        <v>0</v>
      </c>
    </row>
    <row r="167" ht="15" customHeight="1">
      <c r="A167" s="67"/>
    </row>
    <row r="168" ht="14.25">
      <c r="A168" s="76" t="s">
        <v>162</v>
      </c>
    </row>
    <row r="169" ht="15" thickBot="1">
      <c r="A169" s="76"/>
    </row>
    <row r="170" spans="1:7" ht="28.5" customHeight="1">
      <c r="A170" s="96" t="s">
        <v>37</v>
      </c>
      <c r="B170" s="598" t="s">
        <v>38</v>
      </c>
      <c r="C170" s="599"/>
      <c r="D170" s="77" t="s">
        <v>39</v>
      </c>
      <c r="E170" s="78" t="s">
        <v>207</v>
      </c>
      <c r="F170" s="78" t="s">
        <v>58</v>
      </c>
      <c r="G170" s="78" t="s">
        <v>59</v>
      </c>
    </row>
    <row r="171" spans="1:7" ht="14.25" customHeight="1">
      <c r="A171" s="84" t="s">
        <v>9</v>
      </c>
      <c r="B171" s="613" t="s">
        <v>163</v>
      </c>
      <c r="C171" s="613"/>
      <c r="D171" s="84"/>
      <c r="E171" s="84"/>
      <c r="F171" s="84"/>
      <c r="G171" s="84"/>
    </row>
    <row r="172" spans="1:7" ht="14.25" customHeight="1">
      <c r="A172" s="84"/>
      <c r="B172" s="613" t="s">
        <v>164</v>
      </c>
      <c r="C172" s="613"/>
      <c r="D172" s="84" t="s">
        <v>165</v>
      </c>
      <c r="E172" s="101"/>
      <c r="F172" s="101"/>
      <c r="G172" s="101"/>
    </row>
    <row r="173" spans="1:7" ht="14.25" customHeight="1">
      <c r="A173" s="84"/>
      <c r="B173" s="613" t="s">
        <v>167</v>
      </c>
      <c r="C173" s="613"/>
      <c r="D173" s="84" t="s">
        <v>165</v>
      </c>
      <c r="E173" s="101"/>
      <c r="F173" s="101"/>
      <c r="G173" s="101"/>
    </row>
    <row r="174" spans="1:7" ht="14.25" customHeight="1">
      <c r="A174" s="84"/>
      <c r="B174" s="613" t="s">
        <v>168</v>
      </c>
      <c r="C174" s="613"/>
      <c r="D174" s="84" t="s">
        <v>165</v>
      </c>
      <c r="E174" s="101"/>
      <c r="F174" s="101"/>
      <c r="G174" s="101">
        <f>10*F174</f>
        <v>0</v>
      </c>
    </row>
    <row r="175" spans="1:7" ht="29.25" customHeight="1">
      <c r="A175" s="84" t="s">
        <v>45</v>
      </c>
      <c r="B175" s="613" t="s">
        <v>170</v>
      </c>
      <c r="C175" s="613"/>
      <c r="D175" s="84" t="s">
        <v>165</v>
      </c>
      <c r="E175" s="101"/>
      <c r="F175" s="101"/>
      <c r="G175" s="101">
        <f>E175*F175</f>
        <v>0</v>
      </c>
    </row>
    <row r="176" spans="1:7" ht="15" customHeight="1">
      <c r="A176" s="84" t="s">
        <v>14</v>
      </c>
      <c r="B176" s="613" t="s">
        <v>171</v>
      </c>
      <c r="C176" s="613"/>
      <c r="D176" s="84" t="s">
        <v>85</v>
      </c>
      <c r="E176" s="101"/>
      <c r="F176" s="101"/>
      <c r="G176" s="101">
        <f>E176*F176</f>
        <v>0</v>
      </c>
    </row>
    <row r="177" spans="1:9" ht="15" customHeight="1">
      <c r="A177" s="84" t="s">
        <v>49</v>
      </c>
      <c r="B177" s="613" t="s">
        <v>172</v>
      </c>
      <c r="C177" s="613"/>
      <c r="D177" s="84" t="s">
        <v>91</v>
      </c>
      <c r="E177" s="101"/>
      <c r="F177" s="160"/>
      <c r="G177" s="156">
        <f>6/60*F177</f>
        <v>0</v>
      </c>
      <c r="H177" s="119"/>
      <c r="I177" s="119"/>
    </row>
    <row r="178" spans="1:7" ht="15" customHeight="1">
      <c r="A178" s="84" t="s">
        <v>19</v>
      </c>
      <c r="B178" s="613" t="s">
        <v>174</v>
      </c>
      <c r="C178" s="613"/>
      <c r="D178" s="84" t="s">
        <v>43</v>
      </c>
      <c r="E178" s="101">
        <v>5</v>
      </c>
      <c r="F178" s="107">
        <f>F50*1.27</f>
        <v>38.84257871064468</v>
      </c>
      <c r="G178" s="103">
        <f>E178*F178</f>
        <v>194.2128935532234</v>
      </c>
    </row>
    <row r="179" spans="1:9" ht="14.25" customHeight="1">
      <c r="A179" s="84" t="s">
        <v>54</v>
      </c>
      <c r="B179" s="613" t="s">
        <v>510</v>
      </c>
      <c r="C179" s="613"/>
      <c r="D179" s="84" t="s">
        <v>43</v>
      </c>
      <c r="E179" s="107">
        <f>1/6</f>
        <v>0.16666666666666666</v>
      </c>
      <c r="F179" s="322">
        <f>17410*1.27/210</f>
        <v>105.28904761904762</v>
      </c>
      <c r="G179" s="290">
        <f>E179*F179</f>
        <v>17.5481746031746</v>
      </c>
      <c r="H179" s="243"/>
      <c r="I179" s="325" t="s">
        <v>544</v>
      </c>
    </row>
    <row r="180" spans="1:7" ht="14.25" customHeight="1">
      <c r="A180" s="84" t="s">
        <v>22</v>
      </c>
      <c r="B180" s="613" t="s">
        <v>176</v>
      </c>
      <c r="C180" s="613"/>
      <c r="D180" s="84" t="s">
        <v>43</v>
      </c>
      <c r="E180" s="101"/>
      <c r="F180" s="101"/>
      <c r="G180" s="101">
        <f>E180*F180</f>
        <v>0</v>
      </c>
    </row>
    <row r="181" spans="1:7" ht="15" customHeight="1">
      <c r="A181" s="84" t="s">
        <v>72</v>
      </c>
      <c r="B181" s="613" t="s">
        <v>209</v>
      </c>
      <c r="C181" s="613"/>
      <c r="D181" s="84" t="s">
        <v>85</v>
      </c>
      <c r="E181" s="101"/>
      <c r="F181" s="101"/>
      <c r="G181" s="101">
        <f>E181*F181</f>
        <v>0</v>
      </c>
    </row>
    <row r="182" spans="1:7" ht="15" customHeight="1">
      <c r="A182" s="84"/>
      <c r="B182" s="587" t="s">
        <v>177</v>
      </c>
      <c r="C182" s="588"/>
      <c r="D182" s="84"/>
      <c r="E182" s="84"/>
      <c r="F182" s="84"/>
      <c r="G182" s="85">
        <f>SUM(G172:G181)</f>
        <v>211.761068156398</v>
      </c>
    </row>
    <row r="183" ht="13.5" customHeight="1">
      <c r="A183" s="67"/>
    </row>
    <row r="184" ht="14.25">
      <c r="A184" s="76" t="s">
        <v>178</v>
      </c>
    </row>
    <row r="185" ht="15" thickBot="1">
      <c r="A185" s="76"/>
    </row>
    <row r="186" spans="1:7" ht="28.5" customHeight="1">
      <c r="A186" s="96" t="s">
        <v>37</v>
      </c>
      <c r="B186" s="598" t="s">
        <v>38</v>
      </c>
      <c r="C186" s="599"/>
      <c r="D186" s="77" t="s">
        <v>39</v>
      </c>
      <c r="E186" s="78" t="s">
        <v>207</v>
      </c>
      <c r="F186" s="78" t="s">
        <v>58</v>
      </c>
      <c r="G186" s="78" t="s">
        <v>59</v>
      </c>
    </row>
    <row r="187" spans="1:7" ht="15" customHeight="1">
      <c r="A187" s="84" t="s">
        <v>9</v>
      </c>
      <c r="B187" s="613" t="s">
        <v>179</v>
      </c>
      <c r="C187" s="613"/>
      <c r="D187" s="84" t="s">
        <v>180</v>
      </c>
      <c r="E187" s="101"/>
      <c r="F187" s="101"/>
      <c r="G187" s="101">
        <f>E187*F187</f>
        <v>0</v>
      </c>
    </row>
    <row r="188" spans="1:7" ht="15" customHeight="1">
      <c r="A188" s="84" t="s">
        <v>45</v>
      </c>
      <c r="B188" s="613" t="s">
        <v>181</v>
      </c>
      <c r="C188" s="613"/>
      <c r="D188" s="84" t="s">
        <v>180</v>
      </c>
      <c r="E188" s="101"/>
      <c r="F188" s="101"/>
      <c r="G188" s="101">
        <f>E188*F188</f>
        <v>0</v>
      </c>
    </row>
    <row r="189" spans="1:7" ht="15" customHeight="1">
      <c r="A189" s="84" t="s">
        <v>14</v>
      </c>
      <c r="B189" s="613" t="s">
        <v>182</v>
      </c>
      <c r="C189" s="613"/>
      <c r="D189" s="84" t="s">
        <v>180</v>
      </c>
      <c r="E189" s="101"/>
      <c r="F189" s="101"/>
      <c r="G189" s="101">
        <f>E189*F189</f>
        <v>0</v>
      </c>
    </row>
    <row r="190" spans="1:7" ht="15" customHeight="1">
      <c r="A190" s="84"/>
      <c r="B190" s="587" t="s">
        <v>183</v>
      </c>
      <c r="C190" s="588"/>
      <c r="D190" s="84"/>
      <c r="E190" s="84"/>
      <c r="F190" s="84"/>
      <c r="G190" s="85">
        <f>SUM(G187:G189)</f>
        <v>0</v>
      </c>
    </row>
    <row r="191" ht="14.25">
      <c r="A191" s="67"/>
    </row>
    <row r="192" ht="14.25">
      <c r="A192" s="67"/>
    </row>
    <row r="193" ht="14.25">
      <c r="A193" s="67" t="s">
        <v>184</v>
      </c>
    </row>
    <row r="194" ht="15" thickBot="1">
      <c r="A194" s="67"/>
    </row>
    <row r="195" spans="1:7" ht="28.5" customHeight="1">
      <c r="A195" s="96" t="s">
        <v>37</v>
      </c>
      <c r="B195" s="598" t="s">
        <v>38</v>
      </c>
      <c r="C195" s="599"/>
      <c r="D195" s="77" t="s">
        <v>39</v>
      </c>
      <c r="E195" s="78" t="s">
        <v>210</v>
      </c>
      <c r="F195" s="78" t="s">
        <v>58</v>
      </c>
      <c r="G195" s="78" t="s">
        <v>59</v>
      </c>
    </row>
    <row r="196" spans="1:7" ht="15" customHeight="1">
      <c r="A196" s="84" t="s">
        <v>9</v>
      </c>
      <c r="B196" s="613" t="s">
        <v>185</v>
      </c>
      <c r="C196" s="613"/>
      <c r="D196" s="84" t="s">
        <v>85</v>
      </c>
      <c r="E196" s="101">
        <v>0.5</v>
      </c>
      <c r="F196" s="101">
        <v>32.6</v>
      </c>
      <c r="G196" s="103">
        <f>E196*F196</f>
        <v>16.3</v>
      </c>
    </row>
    <row r="197" spans="1:7" ht="14.25" customHeight="1">
      <c r="A197" s="84" t="s">
        <v>45</v>
      </c>
      <c r="B197" s="613" t="s">
        <v>186</v>
      </c>
      <c r="C197" s="613"/>
      <c r="D197" s="84" t="s">
        <v>85</v>
      </c>
      <c r="E197" s="114"/>
      <c r="F197" s="44">
        <f>(1151.55+210.41+5.7+145.58)*1.2</f>
        <v>1815.888</v>
      </c>
      <c r="G197" s="103">
        <f>F197*E196</f>
        <v>907.944</v>
      </c>
    </row>
    <row r="198" spans="1:7" ht="14.25" customHeight="1">
      <c r="A198" s="84" t="s">
        <v>14</v>
      </c>
      <c r="B198" s="613" t="s">
        <v>187</v>
      </c>
      <c r="C198" s="613"/>
      <c r="D198" s="84" t="s">
        <v>85</v>
      </c>
      <c r="E198" s="114"/>
      <c r="F198" s="114"/>
      <c r="G198" s="114"/>
    </row>
    <row r="199" spans="1:7" ht="14.25">
      <c r="A199" s="84" t="s">
        <v>49</v>
      </c>
      <c r="B199" s="613" t="s">
        <v>188</v>
      </c>
      <c r="C199" s="613"/>
      <c r="D199" s="84" t="s">
        <v>85</v>
      </c>
      <c r="E199" s="114"/>
      <c r="F199" s="114"/>
      <c r="G199" s="114"/>
    </row>
    <row r="200" spans="1:7" ht="15" customHeight="1">
      <c r="A200" s="84" t="s">
        <v>19</v>
      </c>
      <c r="B200" s="613" t="s">
        <v>189</v>
      </c>
      <c r="C200" s="613"/>
      <c r="D200" s="84" t="s">
        <v>85</v>
      </c>
      <c r="E200" s="114"/>
      <c r="F200" s="114"/>
      <c r="G200" s="114"/>
    </row>
    <row r="201" spans="1:10" ht="15" customHeight="1">
      <c r="A201" s="84" t="s">
        <v>54</v>
      </c>
      <c r="B201" s="613" t="s">
        <v>190</v>
      </c>
      <c r="C201" s="613"/>
      <c r="D201" s="84" t="s">
        <v>101</v>
      </c>
      <c r="E201" s="241">
        <f>J201/F201</f>
        <v>18.074825033505</v>
      </c>
      <c r="F201" s="43">
        <v>1.68</v>
      </c>
      <c r="G201" s="240">
        <f>E201*F201</f>
        <v>30.3657060562884</v>
      </c>
      <c r="H201" s="54"/>
      <c r="I201" s="448">
        <f>1288300*0.4/8485.23</f>
        <v>60.7314121125768</v>
      </c>
      <c r="J201" s="448">
        <f>I201*E196</f>
        <v>30.3657060562884</v>
      </c>
    </row>
    <row r="202" spans="1:10" ht="15" customHeight="1">
      <c r="A202" s="84" t="s">
        <v>22</v>
      </c>
      <c r="B202" s="613" t="s">
        <v>191</v>
      </c>
      <c r="C202" s="613"/>
      <c r="D202" s="84" t="s">
        <v>192</v>
      </c>
      <c r="E202" s="446">
        <f>J202/F202</f>
        <v>0.10058302620539868</v>
      </c>
      <c r="F202" s="43">
        <f>987*1.2</f>
        <v>1184.3999999999999</v>
      </c>
      <c r="G202" s="240">
        <f>E202*F202</f>
        <v>119.13053623767418</v>
      </c>
      <c r="H202" s="54"/>
      <c r="I202" s="448">
        <f>2021700/8485.23</f>
        <v>238.26107247534836</v>
      </c>
      <c r="J202" s="448">
        <f>I202*E196</f>
        <v>119.13053623767418</v>
      </c>
    </row>
    <row r="203" spans="1:10" ht="15" customHeight="1">
      <c r="A203" s="84" t="s">
        <v>72</v>
      </c>
      <c r="B203" s="613" t="s">
        <v>193</v>
      </c>
      <c r="C203" s="613"/>
      <c r="D203" s="84" t="s">
        <v>85</v>
      </c>
      <c r="E203" s="447"/>
      <c r="F203" s="241">
        <f>(229000+16300)/8485.23</f>
        <v>28.909057267746427</v>
      </c>
      <c r="G203" s="240">
        <f>F203*E196</f>
        <v>14.454528633873213</v>
      </c>
      <c r="H203" s="54"/>
      <c r="I203" s="54"/>
      <c r="J203" s="54"/>
    </row>
    <row r="204" spans="1:10" ht="14.25" customHeight="1">
      <c r="A204" s="84" t="s">
        <v>26</v>
      </c>
      <c r="B204" s="613" t="s">
        <v>194</v>
      </c>
      <c r="C204" s="613"/>
      <c r="D204" s="84" t="s">
        <v>85</v>
      </c>
      <c r="E204" s="447"/>
      <c r="F204" s="43">
        <v>2693.4</v>
      </c>
      <c r="G204" s="240">
        <f>F204*E196</f>
        <v>1346.7</v>
      </c>
      <c r="H204" s="54"/>
      <c r="I204" s="54"/>
      <c r="J204" s="54"/>
    </row>
    <row r="205" spans="1:10" ht="15" customHeight="1">
      <c r="A205" s="84" t="s">
        <v>31</v>
      </c>
      <c r="B205" s="613" t="s">
        <v>195</v>
      </c>
      <c r="C205" s="613"/>
      <c r="D205" s="84" t="s">
        <v>85</v>
      </c>
      <c r="E205" s="447"/>
      <c r="F205" s="43">
        <v>300.6</v>
      </c>
      <c r="G205" s="240">
        <f>F205*E196</f>
        <v>150.3</v>
      </c>
      <c r="H205" s="54"/>
      <c r="I205" s="54"/>
      <c r="J205" s="54"/>
    </row>
    <row r="206" spans="1:10" ht="15" customHeight="1">
      <c r="A206" s="84" t="s">
        <v>79</v>
      </c>
      <c r="B206" s="613" t="s">
        <v>196</v>
      </c>
      <c r="C206" s="613"/>
      <c r="D206" s="84" t="s">
        <v>85</v>
      </c>
      <c r="E206" s="447"/>
      <c r="F206" s="43">
        <v>1242.8</v>
      </c>
      <c r="G206" s="240">
        <f>F206*E196</f>
        <v>621.4</v>
      </c>
      <c r="H206" s="54"/>
      <c r="I206" s="54"/>
      <c r="J206" s="54"/>
    </row>
    <row r="207" ht="14.25">
      <c r="A207" s="67"/>
    </row>
    <row r="208" ht="14.25">
      <c r="A208" s="67" t="s">
        <v>197</v>
      </c>
    </row>
    <row r="209" ht="15" thickBot="1">
      <c r="A209" s="76"/>
    </row>
    <row r="210" spans="1:7" ht="14.25" customHeight="1">
      <c r="A210" s="623" t="s">
        <v>37</v>
      </c>
      <c r="B210" s="598" t="s">
        <v>38</v>
      </c>
      <c r="C210" s="599"/>
      <c r="D210" s="77" t="s">
        <v>198</v>
      </c>
      <c r="E210" s="598" t="s">
        <v>59</v>
      </c>
      <c r="F210" s="616"/>
      <c r="G210" s="599"/>
    </row>
    <row r="211" spans="1:7" ht="14.25">
      <c r="A211" s="624"/>
      <c r="B211" s="600"/>
      <c r="C211" s="612"/>
      <c r="D211" s="112" t="s">
        <v>199</v>
      </c>
      <c r="E211" s="600"/>
      <c r="F211" s="617"/>
      <c r="G211" s="612"/>
    </row>
    <row r="212" spans="1:7" ht="15" customHeight="1">
      <c r="A212" s="84" t="s">
        <v>9</v>
      </c>
      <c r="B212" s="613" t="s">
        <v>200</v>
      </c>
      <c r="C212" s="613"/>
      <c r="D212" s="84" t="s">
        <v>85</v>
      </c>
      <c r="E212" s="614">
        <f>G44+G59+G63+G64+G97+G118+G130+G143+G158+G166+G182+G190</f>
        <v>3846.5953961106625</v>
      </c>
      <c r="F212" s="615"/>
      <c r="G212" s="615"/>
    </row>
    <row r="213" spans="1:7" ht="15" customHeight="1">
      <c r="A213" s="84" t="s">
        <v>45</v>
      </c>
      <c r="B213" s="613" t="s">
        <v>201</v>
      </c>
      <c r="C213" s="613"/>
      <c r="D213" s="84" t="s">
        <v>85</v>
      </c>
      <c r="E213" s="614">
        <f>SUM(G196:G206)</f>
        <v>3206.594770927836</v>
      </c>
      <c r="F213" s="614"/>
      <c r="G213" s="614"/>
    </row>
    <row r="214" spans="1:7" ht="14.25">
      <c r="A214" s="84" t="s">
        <v>14</v>
      </c>
      <c r="B214" s="613" t="s">
        <v>202</v>
      </c>
      <c r="C214" s="613"/>
      <c r="D214" s="84" t="s">
        <v>85</v>
      </c>
      <c r="E214" s="614">
        <f>E212+E213</f>
        <v>7053.190167038499</v>
      </c>
      <c r="F214" s="614"/>
      <c r="G214" s="614"/>
    </row>
    <row r="215" spans="1:7" ht="15" customHeight="1">
      <c r="A215" s="84">
        <v>4</v>
      </c>
      <c r="B215" s="613" t="s">
        <v>203</v>
      </c>
      <c r="C215" s="613"/>
      <c r="D215" s="84" t="s">
        <v>85</v>
      </c>
      <c r="E215" s="611"/>
      <c r="F215" s="611"/>
      <c r="G215" s="611"/>
    </row>
    <row r="216" spans="1:7" ht="15" customHeight="1">
      <c r="A216" s="84" t="s">
        <v>19</v>
      </c>
      <c r="B216" s="613" t="s">
        <v>204</v>
      </c>
      <c r="C216" s="613"/>
      <c r="D216" s="84" t="s">
        <v>85</v>
      </c>
      <c r="E216" s="611">
        <f>E214-E215</f>
        <v>7053.190167038499</v>
      </c>
      <c r="F216" s="611"/>
      <c r="G216" s="611"/>
    </row>
    <row r="217" ht="14.25">
      <c r="A217" s="95"/>
    </row>
    <row r="218" ht="14.25">
      <c r="A218" s="95"/>
    </row>
    <row r="219" spans="2:3" ht="14.25">
      <c r="B219" s="116" t="s">
        <v>63</v>
      </c>
      <c r="C219" s="117"/>
    </row>
    <row r="220" ht="14.25">
      <c r="A220" s="95"/>
    </row>
    <row r="221" ht="14.25">
      <c r="B221" s="116" t="s">
        <v>206</v>
      </c>
    </row>
  </sheetData>
  <sheetProtection/>
  <mergeCells count="165">
    <mergeCell ref="A7:G7"/>
    <mergeCell ref="A8:G8"/>
    <mergeCell ref="A9:G9"/>
    <mergeCell ref="B27:G27"/>
    <mergeCell ref="D24:E24"/>
    <mergeCell ref="F16:G16"/>
    <mergeCell ref="F18:G18"/>
    <mergeCell ref="B67:C67"/>
    <mergeCell ref="B62:C62"/>
    <mergeCell ref="D47:D48"/>
    <mergeCell ref="F20:G20"/>
    <mergeCell ref="F22:G22"/>
    <mergeCell ref="F24:G24"/>
    <mergeCell ref="B28:G28"/>
    <mergeCell ref="C26:G26"/>
    <mergeCell ref="E47:E48"/>
    <mergeCell ref="B33:C34"/>
    <mergeCell ref="B47:C47"/>
    <mergeCell ref="D16:E16"/>
    <mergeCell ref="D18:E18"/>
    <mergeCell ref="D20:E20"/>
    <mergeCell ref="D22:E22"/>
    <mergeCell ref="B35:C35"/>
    <mergeCell ref="B41:C41"/>
    <mergeCell ref="B42:C42"/>
    <mergeCell ref="B43:C43"/>
    <mergeCell ref="E216:G216"/>
    <mergeCell ref="B210:C211"/>
    <mergeCell ref="B212:C212"/>
    <mergeCell ref="B213:C213"/>
    <mergeCell ref="B214:C214"/>
    <mergeCell ref="B215:C215"/>
    <mergeCell ref="B216:C216"/>
    <mergeCell ref="E212:G212"/>
    <mergeCell ref="E213:G213"/>
    <mergeCell ref="E214:G214"/>
    <mergeCell ref="B203:C203"/>
    <mergeCell ref="E215:G215"/>
    <mergeCell ref="B204:C204"/>
    <mergeCell ref="B205:C205"/>
    <mergeCell ref="B206:C206"/>
    <mergeCell ref="E210:G211"/>
    <mergeCell ref="B197:C197"/>
    <mergeCell ref="B198:C198"/>
    <mergeCell ref="B199:C199"/>
    <mergeCell ref="B200:C200"/>
    <mergeCell ref="B201:C201"/>
    <mergeCell ref="B202:C202"/>
    <mergeCell ref="B165:C165"/>
    <mergeCell ref="B166:C166"/>
    <mergeCell ref="B170:C170"/>
    <mergeCell ref="B172:C172"/>
    <mergeCell ref="B186:C186"/>
    <mergeCell ref="B195:C195"/>
    <mergeCell ref="B190:C190"/>
    <mergeCell ref="B179:C179"/>
    <mergeCell ref="B182:C182"/>
    <mergeCell ref="B180:C180"/>
    <mergeCell ref="B181:C181"/>
    <mergeCell ref="B187:C187"/>
    <mergeCell ref="B188:C188"/>
    <mergeCell ref="B196:C196"/>
    <mergeCell ref="B174:C174"/>
    <mergeCell ref="B189:C189"/>
    <mergeCell ref="B158:C158"/>
    <mergeCell ref="B157:C157"/>
    <mergeCell ref="B156:C156"/>
    <mergeCell ref="B173:C173"/>
    <mergeCell ref="B176:C176"/>
    <mergeCell ref="B177:C177"/>
    <mergeCell ref="B178:C178"/>
    <mergeCell ref="B175:C175"/>
    <mergeCell ref="B171:C171"/>
    <mergeCell ref="B97:C97"/>
    <mergeCell ref="B89:C89"/>
    <mergeCell ref="B90:C90"/>
    <mergeCell ref="B149:C149"/>
    <mergeCell ref="B148:C148"/>
    <mergeCell ref="B139:C139"/>
    <mergeCell ref="B142:C142"/>
    <mergeCell ref="B118:C118"/>
    <mergeCell ref="B130:C130"/>
    <mergeCell ref="B74:C74"/>
    <mergeCell ref="B75:C75"/>
    <mergeCell ref="B76:C76"/>
    <mergeCell ref="B77:C77"/>
    <mergeCell ref="B78:C78"/>
    <mergeCell ref="B91:C91"/>
    <mergeCell ref="B155:C155"/>
    <mergeCell ref="A82:C82"/>
    <mergeCell ref="A83:C83"/>
    <mergeCell ref="B154:C154"/>
    <mergeCell ref="B153:C153"/>
    <mergeCell ref="B150:C150"/>
    <mergeCell ref="B151:C151"/>
    <mergeCell ref="B152:C152"/>
    <mergeCell ref="B94:C94"/>
    <mergeCell ref="B143:C143"/>
    <mergeCell ref="D136:G136"/>
    <mergeCell ref="B86:C86"/>
    <mergeCell ref="B84:C84"/>
    <mergeCell ref="B85:C85"/>
    <mergeCell ref="A87:C87"/>
    <mergeCell ref="A88:C88"/>
    <mergeCell ref="A93:C93"/>
    <mergeCell ref="B105:C105"/>
    <mergeCell ref="B106:C106"/>
    <mergeCell ref="B96:C96"/>
    <mergeCell ref="A47:A48"/>
    <mergeCell ref="D135:G135"/>
    <mergeCell ref="F47:F48"/>
    <mergeCell ref="G47:G48"/>
    <mergeCell ref="B80:C80"/>
    <mergeCell ref="B81:C81"/>
    <mergeCell ref="B70:C70"/>
    <mergeCell ref="B71:C71"/>
    <mergeCell ref="A69:C69"/>
    <mergeCell ref="A68:C68"/>
    <mergeCell ref="A210:A211"/>
    <mergeCell ref="B124:C124"/>
    <mergeCell ref="B125:C125"/>
    <mergeCell ref="B126:C126"/>
    <mergeCell ref="B127:C127"/>
    <mergeCell ref="B128:C128"/>
    <mergeCell ref="B141:C141"/>
    <mergeCell ref="A162:A163"/>
    <mergeCell ref="B162:C163"/>
    <mergeCell ref="B164:C164"/>
    <mergeCell ref="A33:A34"/>
    <mergeCell ref="B44:C44"/>
    <mergeCell ref="B63:C63"/>
    <mergeCell ref="B64:C64"/>
    <mergeCell ref="A40:A43"/>
    <mergeCell ref="B36:C36"/>
    <mergeCell ref="B37:C37"/>
    <mergeCell ref="B38:C38"/>
    <mergeCell ref="B39:C39"/>
    <mergeCell ref="B40:C40"/>
    <mergeCell ref="B72:C72"/>
    <mergeCell ref="B73:C73"/>
    <mergeCell ref="B79:C79"/>
    <mergeCell ref="B110:C110"/>
    <mergeCell ref="B95:C95"/>
    <mergeCell ref="B102:C102"/>
    <mergeCell ref="B103:C103"/>
    <mergeCell ref="B104:C104"/>
    <mergeCell ref="B101:C101"/>
    <mergeCell ref="B107:C107"/>
    <mergeCell ref="B114:C114"/>
    <mergeCell ref="B115:C115"/>
    <mergeCell ref="B116:C116"/>
    <mergeCell ref="B117:C117"/>
    <mergeCell ref="B108:C108"/>
    <mergeCell ref="B109:C109"/>
    <mergeCell ref="B112:C112"/>
    <mergeCell ref="B113:C113"/>
    <mergeCell ref="B111:C111"/>
    <mergeCell ref="B137:C137"/>
    <mergeCell ref="B138:C138"/>
    <mergeCell ref="B140:C140"/>
    <mergeCell ref="B123:C123"/>
    <mergeCell ref="B134:C134"/>
    <mergeCell ref="B135:C135"/>
    <mergeCell ref="B136:C136"/>
    <mergeCell ref="B129:C129"/>
  </mergeCells>
  <printOptions/>
  <pageMargins left="0.35433070866141736" right="0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astavciuc</dc:creator>
  <cp:keywords/>
  <dc:description/>
  <cp:lastModifiedBy>CO</cp:lastModifiedBy>
  <cp:lastPrinted>2014-10-08T07:06:13Z</cp:lastPrinted>
  <dcterms:created xsi:type="dcterms:W3CDTF">2013-06-19T10:40:38Z</dcterms:created>
  <dcterms:modified xsi:type="dcterms:W3CDTF">2015-09-16T09:01:04Z</dcterms:modified>
  <cp:category/>
  <cp:version/>
  <cp:contentType/>
  <cp:contentStatus/>
</cp:coreProperties>
</file>